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07EB7BF6-FC19-4833-A411-96F41B2DB3FB}" xr6:coauthVersionLast="47" xr6:coauthVersionMax="47" xr10:uidLastSave="{00000000-0000-0000-0000-000000000000}"/>
  <workbookProtection workbookAlgorithmName="SHA-512" workbookHashValue="JgSDnAoAndLeQhGdUX8wGHgAExoycMIMQqDXuMXM+HF18NHCZ+cREgLsg3bAuKuX+H4JnWcD79uuiCAjz+zTRQ==" workbookSaltValue="bDRA9pu0+OGyYlLNJF5yVw==" workbookSpinCount="100000" lockStructure="1"/>
  <bookViews>
    <workbookView xWindow="-120" yWindow="-120" windowWidth="20730" windowHeight="11040" xr2:uid="{00000000-000D-0000-FFFF-FFFF00000000}"/>
  </bookViews>
  <sheets>
    <sheet name="SET SP Tarquí" sheetId="1" r:id="rId1"/>
    <sheet name="01" sheetId="55" r:id="rId2"/>
    <sheet name="02" sheetId="56" r:id="rId3"/>
    <sheet name="03" sheetId="60" r:id="rId4"/>
    <sheet name="04" sheetId="61" r:id="rId5"/>
    <sheet name="05" sheetId="62" r:id="rId6"/>
    <sheet name="06" sheetId="36" r:id="rId7"/>
    <sheet name="07" sheetId="38" r:id="rId8"/>
    <sheet name="08" sheetId="58" r:id="rId9"/>
    <sheet name="09" sheetId="59" r:id="rId10"/>
    <sheet name="10" sheetId="63" r:id="rId11"/>
    <sheet name="11" sheetId="64" r:id="rId12"/>
    <sheet name="12" sheetId="65" r:id="rId13"/>
    <sheet name="13" sheetId="68" r:id="rId14"/>
    <sheet name="14" sheetId="66" r:id="rId15"/>
    <sheet name="TARQUI2020" sheetId="69" r:id="rId16"/>
  </sheets>
  <definedNames>
    <definedName name="_xlnm.Print_Area" localSheetId="15">TARQUI2020!$A$1:$J$95</definedName>
    <definedName name="_xlnm.Print_Titles" localSheetId="0">'SET SP Tarquí'!$1:$7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9" l="1"/>
  <c r="G20" i="69"/>
  <c r="G16" i="69"/>
  <c r="G14" i="69"/>
  <c r="F23" i="69"/>
  <c r="F21" i="69"/>
  <c r="F17" i="69"/>
  <c r="F15" i="69"/>
  <c r="F22" i="69"/>
  <c r="F20" i="69"/>
  <c r="F16" i="69"/>
  <c r="F14" i="69"/>
  <c r="E23" i="69"/>
  <c r="E21" i="69"/>
  <c r="E17" i="69"/>
  <c r="E15" i="69"/>
  <c r="E22" i="69"/>
  <c r="E20" i="69"/>
  <c r="E16" i="69"/>
  <c r="E14" i="69"/>
  <c r="D23" i="69"/>
  <c r="D21" i="69"/>
  <c r="D17" i="69"/>
  <c r="D15" i="69"/>
  <c r="D16" i="69"/>
  <c r="D20" i="69"/>
  <c r="D22" i="69"/>
  <c r="D14" i="69"/>
  <c r="G11" i="69"/>
  <c r="G10" i="69"/>
  <c r="F11" i="69"/>
  <c r="F10" i="69"/>
  <c r="E11" i="69"/>
  <c r="E10" i="69"/>
  <c r="D11" i="69"/>
  <c r="D10" i="69"/>
  <c r="P36" i="69"/>
  <c r="O56" i="69"/>
  <c r="P38" i="69"/>
  <c r="D56" i="69" l="1"/>
  <c r="E56" i="69"/>
  <c r="F56" i="69"/>
  <c r="G56" i="69"/>
  <c r="H56" i="69"/>
  <c r="I56" i="69"/>
  <c r="F31" i="69"/>
  <c r="R23" i="69"/>
  <c r="R24" i="69"/>
  <c r="P11" i="69" l="1"/>
  <c r="P10" i="69"/>
  <c r="P9" i="69"/>
  <c r="P15" i="69" l="1"/>
  <c r="P16" i="69"/>
  <c r="P17" i="69"/>
  <c r="P18" i="69"/>
  <c r="P19" i="69"/>
  <c r="P14" i="69"/>
  <c r="O57" i="69" l="1"/>
  <c r="N58" i="69"/>
  <c r="O58" i="69"/>
  <c r="N44" i="69"/>
  <c r="O44" i="69"/>
  <c r="N26" i="69"/>
  <c r="H29" i="69" l="1"/>
  <c r="G29" i="69"/>
  <c r="F27" i="69"/>
  <c r="E29" i="69"/>
  <c r="E26" i="69"/>
  <c r="F26" i="69"/>
  <c r="I26" i="69"/>
  <c r="J26" i="69"/>
  <c r="G27" i="69"/>
  <c r="J27" i="69"/>
  <c r="K27" i="69"/>
  <c r="G28" i="69"/>
  <c r="H28" i="69"/>
  <c r="K28" i="69"/>
  <c r="I29" i="69"/>
  <c r="I30" i="69"/>
  <c r="G26" i="69"/>
  <c r="H26" i="69"/>
  <c r="K26" i="69"/>
  <c r="E27" i="69"/>
  <c r="I27" i="69"/>
  <c r="E28" i="69"/>
  <c r="F28" i="69"/>
  <c r="I28" i="69"/>
  <c r="J28" i="69"/>
  <c r="J29" i="69"/>
  <c r="K29" i="69"/>
  <c r="E30" i="69"/>
  <c r="F30" i="69"/>
  <c r="G30" i="69"/>
  <c r="H30" i="69"/>
  <c r="J30" i="69"/>
  <c r="K30" i="69"/>
  <c r="E31" i="69"/>
  <c r="G31" i="69"/>
  <c r="H31" i="69"/>
  <c r="I31" i="69"/>
  <c r="J31" i="69"/>
  <c r="K31" i="69"/>
  <c r="K32" i="69" l="1"/>
  <c r="J32" i="69"/>
  <c r="K33" i="69"/>
  <c r="F32" i="69"/>
  <c r="J33" i="69"/>
  <c r="G32" i="69"/>
  <c r="E32" i="69"/>
  <c r="H27" i="69"/>
  <c r="H33" i="69" s="1"/>
  <c r="G33" i="69"/>
  <c r="F29" i="69"/>
  <c r="F33" i="69" s="1"/>
  <c r="E33" i="69"/>
  <c r="I32" i="69"/>
  <c r="I33" i="69"/>
  <c r="H32" i="69"/>
  <c r="E70" i="69" l="1"/>
  <c r="F70" i="69"/>
  <c r="G70" i="69"/>
  <c r="H70" i="69"/>
  <c r="I70" i="69"/>
  <c r="J70" i="69"/>
  <c r="K70" i="69"/>
  <c r="L70" i="69"/>
  <c r="M70" i="69"/>
  <c r="N70" i="69"/>
  <c r="O70" i="69"/>
  <c r="D70" i="69"/>
  <c r="N27" i="69" l="1"/>
  <c r="J56" i="69" l="1"/>
  <c r="N56" i="69"/>
  <c r="M56" i="69" l="1"/>
  <c r="C19" i="59" l="1"/>
  <c r="L56" i="69" l="1"/>
  <c r="K56" i="69"/>
  <c r="H47" i="69" l="1"/>
  <c r="A18" i="56" l="1"/>
  <c r="A18" i="60" s="1"/>
  <c r="A18" i="61" s="1"/>
  <c r="A18" i="62" s="1"/>
  <c r="A18" i="36" s="1"/>
  <c r="A18" i="38" s="1"/>
  <c r="A18" i="58" s="1"/>
  <c r="A18" i="59" s="1"/>
  <c r="A18" i="63" s="1"/>
  <c r="A18" i="64" s="1"/>
  <c r="A18" i="65" s="1"/>
  <c r="A18" i="68" s="1"/>
  <c r="A18" i="66" s="1"/>
  <c r="A15" i="56"/>
  <c r="A15" i="60" s="1"/>
  <c r="A15" i="61" s="1"/>
  <c r="A15" i="62" s="1"/>
  <c r="A15" i="36" s="1"/>
  <c r="A15" i="38" s="1"/>
  <c r="A15" i="58" s="1"/>
  <c r="A15" i="59" s="1"/>
  <c r="A15" i="63" s="1"/>
  <c r="A15" i="64" s="1"/>
  <c r="A15" i="65" s="1"/>
  <c r="A15" i="68" s="1"/>
  <c r="A15" i="66" s="1"/>
  <c r="H19" i="65" l="1"/>
  <c r="I19" i="65"/>
  <c r="J19" i="65"/>
  <c r="K19" i="65"/>
  <c r="L19" i="65"/>
  <c r="M19" i="65"/>
  <c r="N19" i="65"/>
  <c r="D19" i="65"/>
  <c r="E19" i="65"/>
  <c r="F19" i="65"/>
  <c r="G19" i="65"/>
  <c r="C19" i="65"/>
  <c r="H44" i="69" l="1"/>
  <c r="I44" i="69"/>
  <c r="J44" i="69"/>
  <c r="K44" i="69"/>
  <c r="L44" i="69"/>
  <c r="M44" i="69"/>
  <c r="H43" i="69" l="1"/>
  <c r="D43" i="69" l="1"/>
  <c r="O53" i="69" l="1"/>
  <c r="O26" i="69"/>
  <c r="E57" i="69" l="1"/>
  <c r="F57" i="69"/>
  <c r="G57" i="69"/>
  <c r="H57" i="69"/>
  <c r="E52" i="69" l="1"/>
  <c r="F52" i="69"/>
  <c r="G52" i="69"/>
  <c r="H52" i="69"/>
  <c r="I52" i="69"/>
  <c r="J52" i="69"/>
  <c r="K52" i="69"/>
  <c r="L52" i="69"/>
  <c r="M52" i="69"/>
  <c r="N52" i="69"/>
  <c r="O52" i="69"/>
  <c r="D52" i="69"/>
  <c r="E45" i="69"/>
  <c r="F45" i="69"/>
  <c r="G45" i="69"/>
  <c r="H45" i="69"/>
  <c r="I45" i="69"/>
  <c r="J45" i="69"/>
  <c r="K45" i="69"/>
  <c r="L45" i="69"/>
  <c r="M45" i="69"/>
  <c r="N45" i="69"/>
  <c r="O45" i="69"/>
  <c r="D45" i="69"/>
  <c r="K69" i="69" l="1"/>
  <c r="L69" i="69"/>
  <c r="M69" i="69"/>
  <c r="N69" i="69"/>
  <c r="O69" i="69"/>
  <c r="K68" i="69"/>
  <c r="L68" i="69"/>
  <c r="M68" i="69"/>
  <c r="N68" i="69"/>
  <c r="O68" i="69"/>
  <c r="K20" i="68" l="1"/>
  <c r="M20" i="68"/>
  <c r="N20" i="68"/>
  <c r="D20" i="68"/>
  <c r="E20" i="68"/>
  <c r="F20" i="68"/>
  <c r="G20" i="68"/>
  <c r="H20" i="68"/>
  <c r="I20" i="68"/>
  <c r="J20" i="68"/>
  <c r="C20" i="68"/>
  <c r="D20" i="64"/>
  <c r="E20" i="64"/>
  <c r="F20" i="64"/>
  <c r="G20" i="64"/>
  <c r="H20" i="64"/>
  <c r="I20" i="64"/>
  <c r="J20" i="64"/>
  <c r="K20" i="64"/>
  <c r="L20" i="64"/>
  <c r="M20" i="64"/>
  <c r="N20" i="64"/>
  <c r="C20" i="64"/>
  <c r="K20" i="58"/>
  <c r="L20" i="58"/>
  <c r="M20" i="58"/>
  <c r="N20" i="58"/>
  <c r="D20" i="58"/>
  <c r="E20" i="58"/>
  <c r="F20" i="58"/>
  <c r="G20" i="58"/>
  <c r="H20" i="58"/>
  <c r="I20" i="58"/>
  <c r="J20" i="58"/>
  <c r="C20" i="58"/>
  <c r="K20" i="63" l="1"/>
  <c r="L20" i="63"/>
  <c r="M20" i="63"/>
  <c r="N20" i="63"/>
  <c r="K21" i="63"/>
  <c r="L21" i="63"/>
  <c r="M21" i="63"/>
  <c r="N21" i="63"/>
  <c r="D19" i="59"/>
  <c r="E19" i="59"/>
  <c r="F19" i="59"/>
  <c r="G19" i="59"/>
  <c r="H19" i="59"/>
  <c r="I19" i="59"/>
  <c r="J19" i="59"/>
  <c r="K19" i="59"/>
  <c r="L19" i="59"/>
  <c r="M19" i="59"/>
  <c r="N19" i="59"/>
  <c r="K20" i="38"/>
  <c r="K20" i="66" s="1"/>
  <c r="M20" i="38"/>
  <c r="M20" i="66" s="1"/>
  <c r="N20" i="38"/>
  <c r="N20" i="66" s="1"/>
  <c r="K20" i="36"/>
  <c r="L20" i="36"/>
  <c r="M20" i="36"/>
  <c r="N20" i="36"/>
  <c r="K20" i="62"/>
  <c r="K21" i="68" s="1"/>
  <c r="L20" i="62"/>
  <c r="L21" i="58" s="1"/>
  <c r="M20" i="62"/>
  <c r="M21" i="68" s="1"/>
  <c r="N20" i="62"/>
  <c r="N21" i="58" s="1"/>
  <c r="K21" i="62"/>
  <c r="K21" i="36" s="1"/>
  <c r="L21" i="62"/>
  <c r="L21" i="36" s="1"/>
  <c r="M21" i="62"/>
  <c r="M21" i="36" s="1"/>
  <c r="N21" i="62"/>
  <c r="N21" i="36" s="1"/>
  <c r="K20" i="55"/>
  <c r="L20" i="55"/>
  <c r="M20" i="55"/>
  <c r="N20" i="55"/>
  <c r="K21" i="55"/>
  <c r="K21" i="60" s="1"/>
  <c r="L21" i="55"/>
  <c r="L21" i="60" s="1"/>
  <c r="M21" i="55"/>
  <c r="M21" i="60" s="1"/>
  <c r="N21" i="55"/>
  <c r="N21" i="60" s="1"/>
  <c r="M21" i="58" l="1"/>
  <c r="K21" i="58"/>
  <c r="N21" i="68"/>
  <c r="L21" i="68"/>
  <c r="O18" i="66"/>
  <c r="C18" i="66" s="1"/>
  <c r="O17" i="66"/>
  <c r="C17" i="66" s="1"/>
  <c r="O18" i="68"/>
  <c r="C18" i="68" s="1"/>
  <c r="O17" i="68"/>
  <c r="C17" i="68" s="1"/>
  <c r="O18" i="65"/>
  <c r="C18" i="65" s="1"/>
  <c r="O17" i="65"/>
  <c r="C17" i="65" s="1"/>
  <c r="O18" i="64"/>
  <c r="C18" i="64" s="1"/>
  <c r="O17" i="64"/>
  <c r="C17" i="64" s="1"/>
  <c r="O18" i="63"/>
  <c r="C18" i="63" s="1"/>
  <c r="O17" i="63"/>
  <c r="C17" i="63" s="1"/>
  <c r="O18" i="59"/>
  <c r="C18" i="59" s="1"/>
  <c r="O17" i="59"/>
  <c r="C17" i="59" s="1"/>
  <c r="O18" i="58"/>
  <c r="C18" i="58" s="1"/>
  <c r="O17" i="58"/>
  <c r="C17" i="58" s="1"/>
  <c r="O18" i="38"/>
  <c r="C18" i="38" s="1"/>
  <c r="O17" i="38"/>
  <c r="C17" i="38" s="1"/>
  <c r="O18" i="36"/>
  <c r="C18" i="36" s="1"/>
  <c r="O17" i="36"/>
  <c r="C17" i="36" s="1"/>
  <c r="O18" i="62"/>
  <c r="C18" i="62" s="1"/>
  <c r="O17" i="62"/>
  <c r="C17" i="62" s="1"/>
  <c r="O18" i="61"/>
  <c r="C18" i="61" s="1"/>
  <c r="O17" i="61"/>
  <c r="C17" i="61" s="1"/>
  <c r="O18" i="60"/>
  <c r="C18" i="60" s="1"/>
  <c r="O17" i="60"/>
  <c r="C17" i="60" s="1"/>
  <c r="O18" i="56"/>
  <c r="C18" i="56" s="1"/>
  <c r="O17" i="56"/>
  <c r="C17" i="56" s="1"/>
  <c r="O18" i="55"/>
  <c r="C18" i="55" s="1"/>
  <c r="O17" i="55"/>
  <c r="C17" i="55" s="1"/>
  <c r="D21" i="63" l="1"/>
  <c r="E21" i="63"/>
  <c r="F21" i="63"/>
  <c r="G21" i="63"/>
  <c r="H21" i="63"/>
  <c r="I21" i="63"/>
  <c r="J21" i="63"/>
  <c r="C21" i="63"/>
  <c r="D20" i="63"/>
  <c r="E20" i="63"/>
  <c r="F20" i="63"/>
  <c r="G20" i="63"/>
  <c r="H20" i="63"/>
  <c r="I20" i="63"/>
  <c r="J20" i="63"/>
  <c r="C20" i="63"/>
  <c r="D20" i="38"/>
  <c r="D20" i="66" s="1"/>
  <c r="E20" i="38"/>
  <c r="E20" i="66" s="1"/>
  <c r="F20" i="38"/>
  <c r="F20" i="66" s="1"/>
  <c r="G20" i="38"/>
  <c r="G20" i="66" s="1"/>
  <c r="H20" i="38"/>
  <c r="H20" i="66" s="1"/>
  <c r="I20" i="38"/>
  <c r="I20" i="66" s="1"/>
  <c r="J20" i="38"/>
  <c r="J20" i="66" s="1"/>
  <c r="D20" i="36"/>
  <c r="F20" i="36"/>
  <c r="G20" i="36"/>
  <c r="H20" i="36"/>
  <c r="I20" i="36"/>
  <c r="J20" i="36"/>
  <c r="C20" i="36"/>
  <c r="H21" i="62"/>
  <c r="I21" i="62"/>
  <c r="J21" i="62"/>
  <c r="C21" i="62"/>
  <c r="D20" i="62"/>
  <c r="E20" i="62"/>
  <c r="F20" i="62"/>
  <c r="G20" i="62"/>
  <c r="H20" i="62"/>
  <c r="I20" i="62"/>
  <c r="J20" i="62"/>
  <c r="C20" i="62"/>
  <c r="J69" i="69" l="1"/>
  <c r="I69" i="69"/>
  <c r="H69" i="69"/>
  <c r="G69" i="69"/>
  <c r="F69" i="69"/>
  <c r="E69" i="69"/>
  <c r="D69" i="69"/>
  <c r="J68" i="69"/>
  <c r="I68" i="69"/>
  <c r="H68" i="69"/>
  <c r="G68" i="69"/>
  <c r="F68" i="69"/>
  <c r="E68" i="69"/>
  <c r="D68" i="69"/>
  <c r="O63" i="69"/>
  <c r="N63" i="69"/>
  <c r="M63" i="69"/>
  <c r="L63" i="69"/>
  <c r="K63" i="69"/>
  <c r="J63" i="69"/>
  <c r="I63" i="69"/>
  <c r="H63" i="69"/>
  <c r="G63" i="69"/>
  <c r="F63" i="69"/>
  <c r="D63" i="69"/>
  <c r="O62" i="69"/>
  <c r="N62" i="69"/>
  <c r="M62" i="69"/>
  <c r="L62" i="69"/>
  <c r="I62" i="69"/>
  <c r="O61" i="69"/>
  <c r="N61" i="69"/>
  <c r="M61" i="69"/>
  <c r="L61" i="69"/>
  <c r="O60" i="69"/>
  <c r="N60" i="69"/>
  <c r="M60" i="69"/>
  <c r="L60" i="69"/>
  <c r="K60" i="69"/>
  <c r="J60" i="69"/>
  <c r="H60" i="69"/>
  <c r="G60" i="69"/>
  <c r="E60" i="69"/>
  <c r="O59" i="69"/>
  <c r="N59" i="69"/>
  <c r="M59" i="69"/>
  <c r="L59" i="69"/>
  <c r="M58" i="69"/>
  <c r="L58" i="69"/>
  <c r="E58" i="69"/>
  <c r="N57" i="69"/>
  <c r="M57" i="69"/>
  <c r="L57" i="69"/>
  <c r="K57" i="69"/>
  <c r="J57" i="69"/>
  <c r="I57" i="69"/>
  <c r="D57" i="69"/>
  <c r="P57" i="69" s="1"/>
  <c r="O55" i="69"/>
  <c r="N21" i="38" s="1"/>
  <c r="N55" i="69"/>
  <c r="M21" i="38" s="1"/>
  <c r="M55" i="69"/>
  <c r="L55" i="69"/>
  <c r="K21" i="38" s="1"/>
  <c r="K55" i="69"/>
  <c r="J21" i="38" s="1"/>
  <c r="J19" i="38" s="1"/>
  <c r="J55" i="69"/>
  <c r="I21" i="38" s="1"/>
  <c r="I19" i="38" s="1"/>
  <c r="I55" i="69"/>
  <c r="H21" i="38" s="1"/>
  <c r="H19" i="38" s="1"/>
  <c r="D55" i="69"/>
  <c r="O54" i="69"/>
  <c r="N54" i="69"/>
  <c r="M54" i="69"/>
  <c r="L54" i="69"/>
  <c r="K54" i="69"/>
  <c r="J54" i="69"/>
  <c r="I54" i="69"/>
  <c r="D54" i="69"/>
  <c r="N53" i="69"/>
  <c r="M53" i="69"/>
  <c r="L53" i="69"/>
  <c r="K53" i="69"/>
  <c r="J53" i="69"/>
  <c r="I53" i="69"/>
  <c r="D53" i="69"/>
  <c r="O47" i="69"/>
  <c r="N47" i="69"/>
  <c r="M47" i="69"/>
  <c r="L47" i="69"/>
  <c r="O46" i="69"/>
  <c r="N46" i="69"/>
  <c r="M46" i="69"/>
  <c r="L46" i="69"/>
  <c r="D46" i="69"/>
  <c r="O43" i="69"/>
  <c r="N43" i="69"/>
  <c r="M43" i="69"/>
  <c r="L43" i="69"/>
  <c r="D42" i="69"/>
  <c r="O31" i="69"/>
  <c r="N31" i="69"/>
  <c r="M31" i="69"/>
  <c r="L31" i="69"/>
  <c r="D31" i="69"/>
  <c r="O30" i="69"/>
  <c r="N30" i="69"/>
  <c r="M30" i="69"/>
  <c r="L30" i="69"/>
  <c r="O29" i="69"/>
  <c r="N29" i="69"/>
  <c r="M29" i="69"/>
  <c r="L29" i="69"/>
  <c r="O28" i="69"/>
  <c r="N28" i="69"/>
  <c r="M28" i="69"/>
  <c r="L28" i="69"/>
  <c r="O27" i="69"/>
  <c r="M27" i="69"/>
  <c r="L27" i="69"/>
  <c r="M26" i="69"/>
  <c r="L26" i="69"/>
  <c r="E62" i="69"/>
  <c r="K47" i="69"/>
  <c r="J47" i="69"/>
  <c r="I47" i="69"/>
  <c r="G47" i="69"/>
  <c r="F47" i="69"/>
  <c r="E47" i="69"/>
  <c r="K46" i="69"/>
  <c r="J46" i="69"/>
  <c r="I46" i="69"/>
  <c r="H46" i="69"/>
  <c r="G46" i="69"/>
  <c r="F46" i="69"/>
  <c r="E46" i="69"/>
  <c r="I60" i="69"/>
  <c r="F60" i="69"/>
  <c r="D60" i="69"/>
  <c r="D29" i="69"/>
  <c r="D28" i="69"/>
  <c r="I58" i="69"/>
  <c r="E20" i="36"/>
  <c r="N33" i="69" l="1"/>
  <c r="N21" i="56"/>
  <c r="L21" i="56"/>
  <c r="M20" i="56"/>
  <c r="K20" i="56"/>
  <c r="L32" i="69"/>
  <c r="K21" i="56"/>
  <c r="N32" i="69"/>
  <c r="M21" i="56"/>
  <c r="N21" i="66"/>
  <c r="N19" i="38"/>
  <c r="G66" i="69"/>
  <c r="K21" i="66"/>
  <c r="K19" i="38"/>
  <c r="M21" i="66"/>
  <c r="M19" i="38"/>
  <c r="L20" i="56"/>
  <c r="N20" i="56"/>
  <c r="M66" i="69"/>
  <c r="L49" i="69"/>
  <c r="F43" i="69"/>
  <c r="E21" i="55"/>
  <c r="E21" i="60" s="1"/>
  <c r="I20" i="55"/>
  <c r="G43" i="69"/>
  <c r="F21" i="55"/>
  <c r="F21" i="60" s="1"/>
  <c r="K43" i="69"/>
  <c r="J21" i="55"/>
  <c r="J21" i="60" s="1"/>
  <c r="G44" i="69"/>
  <c r="F20" i="55"/>
  <c r="J20" i="55"/>
  <c r="G62" i="69"/>
  <c r="K62" i="69"/>
  <c r="H66" i="69"/>
  <c r="L66" i="69"/>
  <c r="M48" i="69"/>
  <c r="M49" i="69"/>
  <c r="E61" i="69"/>
  <c r="J43" i="69"/>
  <c r="I21" i="55"/>
  <c r="I21" i="60" s="1"/>
  <c r="F62" i="69"/>
  <c r="D26" i="69"/>
  <c r="C21" i="55"/>
  <c r="C21" i="60" s="1"/>
  <c r="G21" i="56"/>
  <c r="G21" i="55"/>
  <c r="G21" i="60" s="1"/>
  <c r="D58" i="69"/>
  <c r="C20" i="55"/>
  <c r="H58" i="69"/>
  <c r="G20" i="55"/>
  <c r="D59" i="69"/>
  <c r="H59" i="69"/>
  <c r="D61" i="69"/>
  <c r="H61" i="69"/>
  <c r="D62" i="69"/>
  <c r="H62" i="69"/>
  <c r="H65" i="69"/>
  <c r="D47" i="69"/>
  <c r="N49" i="69"/>
  <c r="E59" i="69"/>
  <c r="I61" i="69"/>
  <c r="E63" i="69"/>
  <c r="E55" i="69"/>
  <c r="D21" i="38" s="1"/>
  <c r="D19" i="38" s="1"/>
  <c r="D21" i="62"/>
  <c r="F44" i="69"/>
  <c r="E20" i="55"/>
  <c r="J62" i="69"/>
  <c r="E43" i="69"/>
  <c r="D21" i="55"/>
  <c r="D21" i="60" s="1"/>
  <c r="I43" i="69"/>
  <c r="H21" i="55"/>
  <c r="H21" i="60" s="1"/>
  <c r="D20" i="56"/>
  <c r="D20" i="55"/>
  <c r="H20" i="56"/>
  <c r="H20" i="55"/>
  <c r="E66" i="69"/>
  <c r="M32" i="69"/>
  <c r="L20" i="38" s="1"/>
  <c r="L20" i="66" s="1"/>
  <c r="L64" i="69"/>
  <c r="M65" i="69"/>
  <c r="L65" i="69"/>
  <c r="J66" i="69"/>
  <c r="D44" i="69"/>
  <c r="H49" i="69"/>
  <c r="O49" i="69"/>
  <c r="I59" i="69"/>
  <c r="D21" i="56"/>
  <c r="O33" i="69"/>
  <c r="N48" i="69"/>
  <c r="E20" i="56"/>
  <c r="N64" i="69"/>
  <c r="O32" i="69"/>
  <c r="N65" i="69"/>
  <c r="O48" i="69"/>
  <c r="O64" i="69"/>
  <c r="O65" i="69"/>
  <c r="M33" i="69"/>
  <c r="L48" i="69"/>
  <c r="H48" i="69"/>
  <c r="G65" i="69"/>
  <c r="F42" i="69"/>
  <c r="E65" i="69"/>
  <c r="I65" i="69"/>
  <c r="E49" i="69"/>
  <c r="I49" i="69"/>
  <c r="K65" i="69"/>
  <c r="F65" i="69"/>
  <c r="J65" i="69"/>
  <c r="F49" i="69"/>
  <c r="J49" i="69"/>
  <c r="G49" i="69"/>
  <c r="K49" i="69"/>
  <c r="D65" i="69"/>
  <c r="L33" i="69"/>
  <c r="E53" i="69"/>
  <c r="E21" i="62"/>
  <c r="F20" i="56"/>
  <c r="J20" i="56"/>
  <c r="F66" i="69"/>
  <c r="E42" i="69"/>
  <c r="E44" i="69"/>
  <c r="F58" i="69"/>
  <c r="J58" i="69"/>
  <c r="F59" i="69"/>
  <c r="J59" i="69"/>
  <c r="F61" i="69"/>
  <c r="J61" i="69"/>
  <c r="N66" i="69"/>
  <c r="I66" i="69"/>
  <c r="M64" i="69"/>
  <c r="D27" i="69"/>
  <c r="C20" i="56" s="1"/>
  <c r="G58" i="69"/>
  <c r="K58" i="69"/>
  <c r="G59" i="69"/>
  <c r="K59" i="69"/>
  <c r="G61" i="69"/>
  <c r="K61" i="69"/>
  <c r="K66" i="69"/>
  <c r="O66" i="69"/>
  <c r="E54" i="69"/>
  <c r="D30" i="69"/>
  <c r="D66" i="69" s="1"/>
  <c r="L21" i="38" l="1"/>
  <c r="D49" i="69"/>
  <c r="O37" i="69"/>
  <c r="N20" i="60" s="1"/>
  <c r="G48" i="69"/>
  <c r="L67" i="69"/>
  <c r="L37" i="69"/>
  <c r="K20" i="60" s="1"/>
  <c r="M37" i="69"/>
  <c r="N37" i="69"/>
  <c r="M20" i="60" s="1"/>
  <c r="K48" i="69"/>
  <c r="J48" i="69"/>
  <c r="N67" i="69"/>
  <c r="D48" i="69"/>
  <c r="I20" i="56"/>
  <c r="I48" i="69"/>
  <c r="E67" i="69"/>
  <c r="F48" i="69"/>
  <c r="N19" i="66"/>
  <c r="M19" i="66"/>
  <c r="K19" i="66"/>
  <c r="O67" i="69"/>
  <c r="M67" i="69"/>
  <c r="E48" i="69"/>
  <c r="E64" i="69"/>
  <c r="H21" i="56"/>
  <c r="C22" i="60"/>
  <c r="D22" i="60" s="1"/>
  <c r="E22" i="60" s="1"/>
  <c r="F22" i="60" s="1"/>
  <c r="G22" i="60" s="1"/>
  <c r="H22" i="60" s="1"/>
  <c r="O21" i="60"/>
  <c r="G20" i="56"/>
  <c r="E21" i="56"/>
  <c r="I64" i="69"/>
  <c r="C21" i="56"/>
  <c r="J21" i="56"/>
  <c r="F21" i="56"/>
  <c r="I21" i="56"/>
  <c r="D32" i="69"/>
  <c r="C20" i="38" s="1"/>
  <c r="J64" i="69"/>
  <c r="K64" i="69"/>
  <c r="F21" i="62"/>
  <c r="F55" i="69"/>
  <c r="E21" i="38" s="1"/>
  <c r="E19" i="38" s="1"/>
  <c r="F53" i="69"/>
  <c r="D64" i="69"/>
  <c r="D33" i="69"/>
  <c r="H64" i="69"/>
  <c r="F64" i="69"/>
  <c r="G64" i="69"/>
  <c r="F54" i="69"/>
  <c r="G42" i="69"/>
  <c r="L21" i="66" l="1"/>
  <c r="L19" i="66" s="1"/>
  <c r="L19" i="38"/>
  <c r="C20" i="66"/>
  <c r="C21" i="38"/>
  <c r="C19" i="38" s="1"/>
  <c r="I22" i="60"/>
  <c r="J22" i="60" s="1"/>
  <c r="K22" i="60" s="1"/>
  <c r="L22" i="60" s="1"/>
  <c r="M22" i="60" s="1"/>
  <c r="N22" i="60" s="1"/>
  <c r="L20" i="60"/>
  <c r="L20" i="68"/>
  <c r="H67" i="69"/>
  <c r="K37" i="69"/>
  <c r="J20" i="60" s="1"/>
  <c r="I37" i="69"/>
  <c r="H20" i="60" s="1"/>
  <c r="E37" i="69"/>
  <c r="D20" i="60" s="1"/>
  <c r="J67" i="69"/>
  <c r="J37" i="69"/>
  <c r="I20" i="60" s="1"/>
  <c r="F67" i="69"/>
  <c r="F37" i="69"/>
  <c r="E20" i="60" s="1"/>
  <c r="D37" i="69"/>
  <c r="C20" i="60" s="1"/>
  <c r="G37" i="69"/>
  <c r="F20" i="60" s="1"/>
  <c r="H37" i="69"/>
  <c r="G20" i="60" s="1"/>
  <c r="I67" i="69"/>
  <c r="G67" i="69"/>
  <c r="K67" i="69"/>
  <c r="D67" i="69"/>
  <c r="H42" i="69"/>
  <c r="G21" i="62"/>
  <c r="G55" i="69"/>
  <c r="F21" i="38" s="1"/>
  <c r="F19" i="38" s="1"/>
  <c r="G54" i="69"/>
  <c r="G53" i="69"/>
  <c r="I42" i="69" l="1"/>
  <c r="H55" i="69"/>
  <c r="G21" i="38" s="1"/>
  <c r="G19" i="38" s="1"/>
  <c r="H54" i="69"/>
  <c r="H53" i="69"/>
  <c r="O21" i="38" l="1"/>
  <c r="J42" i="69"/>
  <c r="K42" i="69" l="1"/>
  <c r="L42" i="69" l="1"/>
  <c r="M42" i="69" l="1"/>
  <c r="N42" i="69" l="1"/>
  <c r="O42" i="69" l="1"/>
  <c r="O20" i="64" l="1"/>
  <c r="O19" i="64" s="1"/>
  <c r="O20" i="59"/>
  <c r="O19" i="59" s="1"/>
  <c r="N19" i="64"/>
  <c r="M19" i="64"/>
  <c r="L19" i="64"/>
  <c r="K19" i="64"/>
  <c r="J19" i="64"/>
  <c r="I19" i="64"/>
  <c r="H19" i="64"/>
  <c r="G19" i="64"/>
  <c r="F19" i="64"/>
  <c r="E19" i="64"/>
  <c r="D19" i="64"/>
  <c r="C19" i="64"/>
  <c r="F7" i="66" l="1"/>
  <c r="F7" i="65"/>
  <c r="F7" i="64"/>
  <c r="F7" i="63"/>
  <c r="O20" i="60" l="1"/>
  <c r="N19" i="60"/>
  <c r="M19" i="60"/>
  <c r="L19" i="60"/>
  <c r="K19" i="60"/>
  <c r="C21" i="61"/>
  <c r="D21" i="61" s="1"/>
  <c r="E21" i="61" s="1"/>
  <c r="F21" i="61" s="1"/>
  <c r="G21" i="61" s="1"/>
  <c r="H21" i="61" s="1"/>
  <c r="I21" i="61" s="1"/>
  <c r="J21" i="61" s="1"/>
  <c r="K21" i="61" s="1"/>
  <c r="L21" i="61" s="1"/>
  <c r="M21" i="61" s="1"/>
  <c r="N21" i="61" s="1"/>
  <c r="O20" i="61"/>
  <c r="O21" i="61" l="1"/>
  <c r="D22" i="61"/>
  <c r="E22" i="61" s="1"/>
  <c r="F22" i="61" s="1"/>
  <c r="G22" i="61" s="1"/>
  <c r="H22" i="61" s="1"/>
  <c r="I22" i="61" s="1"/>
  <c r="J22" i="61" s="1"/>
  <c r="J19" i="61" l="1"/>
  <c r="K22" i="61"/>
  <c r="I19" i="61"/>
  <c r="E19" i="61"/>
  <c r="H19" i="61"/>
  <c r="D19" i="61"/>
  <c r="G19" i="61"/>
  <c r="F19" i="61"/>
  <c r="L24" i="66"/>
  <c r="H24" i="66"/>
  <c r="D24" i="66"/>
  <c r="L24" i="68"/>
  <c r="H24" i="68"/>
  <c r="D24" i="68"/>
  <c r="L24" i="65"/>
  <c r="H24" i="65"/>
  <c r="D24" i="65"/>
  <c r="L24" i="64"/>
  <c r="H24" i="64"/>
  <c r="D24" i="64"/>
  <c r="L24" i="63"/>
  <c r="H24" i="63"/>
  <c r="D24" i="63"/>
  <c r="L22" i="61" l="1"/>
  <c r="K19" i="61"/>
  <c r="J21" i="58"/>
  <c r="J21" i="36"/>
  <c r="D21" i="68"/>
  <c r="D19" i="68" s="1"/>
  <c r="N20" i="1" s="1"/>
  <c r="E21" i="68"/>
  <c r="E19" i="68" s="1"/>
  <c r="O20" i="1" s="1"/>
  <c r="F21" i="68"/>
  <c r="F19" i="68" s="1"/>
  <c r="P20" i="1" s="1"/>
  <c r="G21" i="68"/>
  <c r="G19" i="68" s="1"/>
  <c r="Q20" i="1" s="1"/>
  <c r="H21" i="68"/>
  <c r="H19" i="68" s="1"/>
  <c r="R20" i="1" s="1"/>
  <c r="I21" i="68"/>
  <c r="I19" i="68" s="1"/>
  <c r="S20" i="1" s="1"/>
  <c r="C21" i="68"/>
  <c r="F21" i="58"/>
  <c r="C21" i="58"/>
  <c r="D21" i="36"/>
  <c r="E21" i="36"/>
  <c r="F21" i="36"/>
  <c r="G21" i="36"/>
  <c r="H21" i="36"/>
  <c r="I21" i="36"/>
  <c r="C21" i="36"/>
  <c r="I11" i="68"/>
  <c r="F11" i="68"/>
  <c r="A11" i="68"/>
  <c r="G8" i="68"/>
  <c r="F7" i="68"/>
  <c r="F6" i="68"/>
  <c r="O20" i="68"/>
  <c r="N19" i="68"/>
  <c r="X20" i="1" s="1"/>
  <c r="M19" i="68"/>
  <c r="W20" i="1" s="1"/>
  <c r="L19" i="68"/>
  <c r="V20" i="1" s="1"/>
  <c r="K19" i="68"/>
  <c r="U20" i="1" s="1"/>
  <c r="N18" i="68"/>
  <c r="M18" i="68"/>
  <c r="L18" i="68"/>
  <c r="K18" i="68"/>
  <c r="J18" i="68"/>
  <c r="I18" i="68"/>
  <c r="H18" i="68"/>
  <c r="G18" i="68"/>
  <c r="F18" i="68"/>
  <c r="E18" i="68"/>
  <c r="D18" i="68"/>
  <c r="N17" i="68"/>
  <c r="M17" i="68"/>
  <c r="L17" i="68"/>
  <c r="K17" i="68"/>
  <c r="J17" i="68"/>
  <c r="I17" i="68"/>
  <c r="H17" i="68"/>
  <c r="G17" i="68"/>
  <c r="F17" i="68"/>
  <c r="E17" i="68"/>
  <c r="D17" i="68"/>
  <c r="H11" i="68"/>
  <c r="F5" i="68"/>
  <c r="M22" i="61" l="1"/>
  <c r="L19" i="61"/>
  <c r="O20" i="55"/>
  <c r="C19" i="60"/>
  <c r="D21" i="58"/>
  <c r="H21" i="58"/>
  <c r="I21" i="58"/>
  <c r="G21" i="58"/>
  <c r="E21" i="58"/>
  <c r="J21" i="68"/>
  <c r="J19" i="68" s="1"/>
  <c r="T20" i="1" s="1"/>
  <c r="C19" i="68"/>
  <c r="M20" i="1" s="1"/>
  <c r="I11" i="66"/>
  <c r="H11" i="66"/>
  <c r="F11" i="66"/>
  <c r="A11" i="66"/>
  <c r="N19" i="1"/>
  <c r="O19" i="1"/>
  <c r="R19" i="1"/>
  <c r="S19" i="1"/>
  <c r="T19" i="1"/>
  <c r="V19" i="1"/>
  <c r="W19" i="1"/>
  <c r="M19" i="1"/>
  <c r="N18" i="1"/>
  <c r="O18" i="1"/>
  <c r="P18" i="1"/>
  <c r="R18" i="1"/>
  <c r="T18" i="1"/>
  <c r="U18" i="1"/>
  <c r="V18" i="1"/>
  <c r="W18" i="1"/>
  <c r="X18" i="1"/>
  <c r="M18" i="1"/>
  <c r="D19" i="63"/>
  <c r="N17" i="1" s="1"/>
  <c r="E19" i="63"/>
  <c r="O17" i="1" s="1"/>
  <c r="F19" i="63"/>
  <c r="P17" i="1" s="1"/>
  <c r="G19" i="63"/>
  <c r="Q17" i="1" s="1"/>
  <c r="H19" i="63"/>
  <c r="R17" i="1" s="1"/>
  <c r="I19" i="63"/>
  <c r="S17" i="1" s="1"/>
  <c r="J19" i="63"/>
  <c r="T17" i="1" s="1"/>
  <c r="K19" i="63"/>
  <c r="U17" i="1" s="1"/>
  <c r="L19" i="63"/>
  <c r="V17" i="1" s="1"/>
  <c r="M19" i="63"/>
  <c r="W17" i="1" s="1"/>
  <c r="N19" i="63"/>
  <c r="X17" i="1" s="1"/>
  <c r="C19" i="63"/>
  <c r="M17" i="1" s="1"/>
  <c r="O20" i="38"/>
  <c r="O19" i="38" s="1"/>
  <c r="L14" i="1" s="1"/>
  <c r="C19" i="61"/>
  <c r="O21" i="56"/>
  <c r="O20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S18" i="1"/>
  <c r="I11" i="65"/>
  <c r="F11" i="65"/>
  <c r="A11" i="65"/>
  <c r="I11" i="64"/>
  <c r="F11" i="64"/>
  <c r="A11" i="64"/>
  <c r="I11" i="63"/>
  <c r="F11" i="63"/>
  <c r="A11" i="63"/>
  <c r="F6" i="66"/>
  <c r="F6" i="65"/>
  <c r="F6" i="64"/>
  <c r="F6" i="63"/>
  <c r="G8" i="66"/>
  <c r="G8" i="65"/>
  <c r="G8" i="64"/>
  <c r="G8" i="63"/>
  <c r="X21" i="1"/>
  <c r="W21" i="1"/>
  <c r="V21" i="1"/>
  <c r="U21" i="1"/>
  <c r="N18" i="66"/>
  <c r="M18" i="66"/>
  <c r="L18" i="66"/>
  <c r="K18" i="66"/>
  <c r="J18" i="66"/>
  <c r="I18" i="66"/>
  <c r="H18" i="66"/>
  <c r="G18" i="66"/>
  <c r="F18" i="66"/>
  <c r="E18" i="66"/>
  <c r="D18" i="66"/>
  <c r="N17" i="66"/>
  <c r="M17" i="66"/>
  <c r="L17" i="66"/>
  <c r="K17" i="66"/>
  <c r="J17" i="66"/>
  <c r="I17" i="66"/>
  <c r="H17" i="66"/>
  <c r="G17" i="66"/>
  <c r="F17" i="66"/>
  <c r="E17" i="66"/>
  <c r="D17" i="66"/>
  <c r="F5" i="66"/>
  <c r="O20" i="65"/>
  <c r="O19" i="65" s="1"/>
  <c r="X19" i="1"/>
  <c r="U19" i="1"/>
  <c r="Q19" i="1"/>
  <c r="P19" i="1"/>
  <c r="N18" i="65"/>
  <c r="M18" i="65"/>
  <c r="L18" i="65"/>
  <c r="K18" i="65"/>
  <c r="J18" i="65"/>
  <c r="I18" i="65"/>
  <c r="H18" i="65"/>
  <c r="G18" i="65"/>
  <c r="F18" i="65"/>
  <c r="E18" i="65"/>
  <c r="D18" i="65"/>
  <c r="N17" i="65"/>
  <c r="M17" i="65"/>
  <c r="L17" i="65"/>
  <c r="K17" i="65"/>
  <c r="J17" i="65"/>
  <c r="I17" i="65"/>
  <c r="H17" i="65"/>
  <c r="G17" i="65"/>
  <c r="F17" i="65"/>
  <c r="E17" i="65"/>
  <c r="D17" i="65"/>
  <c r="H11" i="65"/>
  <c r="F5" i="65"/>
  <c r="Q18" i="1"/>
  <c r="N18" i="64"/>
  <c r="M18" i="64"/>
  <c r="L18" i="64"/>
  <c r="K18" i="64"/>
  <c r="J18" i="64"/>
  <c r="I18" i="64"/>
  <c r="H18" i="64"/>
  <c r="G18" i="64"/>
  <c r="F18" i="64"/>
  <c r="E18" i="64"/>
  <c r="D18" i="64"/>
  <c r="N17" i="64"/>
  <c r="M17" i="64"/>
  <c r="L17" i="64"/>
  <c r="K17" i="64"/>
  <c r="J17" i="64"/>
  <c r="I17" i="64"/>
  <c r="H17" i="64"/>
  <c r="G17" i="64"/>
  <c r="F17" i="64"/>
  <c r="E17" i="64"/>
  <c r="D17" i="64"/>
  <c r="H11" i="64"/>
  <c r="F5" i="64"/>
  <c r="O21" i="63"/>
  <c r="O20" i="63"/>
  <c r="N18" i="63"/>
  <c r="M18" i="63"/>
  <c r="L18" i="63"/>
  <c r="K18" i="63"/>
  <c r="J18" i="63"/>
  <c r="I18" i="63"/>
  <c r="H18" i="63"/>
  <c r="G18" i="63"/>
  <c r="F18" i="63"/>
  <c r="E18" i="63"/>
  <c r="D18" i="63"/>
  <c r="N17" i="63"/>
  <c r="M17" i="63"/>
  <c r="L17" i="63"/>
  <c r="K17" i="63"/>
  <c r="J17" i="63"/>
  <c r="I17" i="63"/>
  <c r="H17" i="63"/>
  <c r="G17" i="63"/>
  <c r="F17" i="63"/>
  <c r="E17" i="63"/>
  <c r="D17" i="63"/>
  <c r="H11" i="63"/>
  <c r="F5" i="63"/>
  <c r="F7" i="59"/>
  <c r="F7" i="58"/>
  <c r="F7" i="38"/>
  <c r="F7" i="36"/>
  <c r="F7" i="62"/>
  <c r="F7" i="61"/>
  <c r="F7" i="60"/>
  <c r="F7" i="56"/>
  <c r="F7" i="55"/>
  <c r="N22" i="61" l="1"/>
  <c r="M19" i="61"/>
  <c r="D19" i="60"/>
  <c r="N10" i="1" s="1"/>
  <c r="O21" i="68"/>
  <c r="O19" i="68" s="1"/>
  <c r="L20" i="1" s="1"/>
  <c r="O19" i="63"/>
  <c r="L17" i="1" s="1"/>
  <c r="O19" i="56"/>
  <c r="L19" i="1"/>
  <c r="L18" i="1"/>
  <c r="O21" i="62"/>
  <c r="O20" i="62"/>
  <c r="O21" i="55"/>
  <c r="W11" i="1"/>
  <c r="U11" i="1"/>
  <c r="T11" i="1"/>
  <c r="S11" i="1"/>
  <c r="R11" i="1"/>
  <c r="Q11" i="1"/>
  <c r="P11" i="1"/>
  <c r="O11" i="1"/>
  <c r="M11" i="1"/>
  <c r="F5" i="59"/>
  <c r="F5" i="58"/>
  <c r="F5" i="38"/>
  <c r="F5" i="36"/>
  <c r="F5" i="62"/>
  <c r="F5" i="61"/>
  <c r="F5" i="60"/>
  <c r="F5" i="56"/>
  <c r="F5" i="55"/>
  <c r="O21" i="36"/>
  <c r="O20" i="36"/>
  <c r="L24" i="62"/>
  <c r="H24" i="62"/>
  <c r="D24" i="62"/>
  <c r="I11" i="62"/>
  <c r="F11" i="62"/>
  <c r="A11" i="62"/>
  <c r="G8" i="62"/>
  <c r="F6" i="62"/>
  <c r="N19" i="62"/>
  <c r="X12" i="1" s="1"/>
  <c r="M19" i="62"/>
  <c r="W12" i="1" s="1"/>
  <c r="L19" i="62"/>
  <c r="V12" i="1" s="1"/>
  <c r="K19" i="62"/>
  <c r="U12" i="1" s="1"/>
  <c r="J19" i="62"/>
  <c r="T12" i="1" s="1"/>
  <c r="I19" i="62"/>
  <c r="S12" i="1" s="1"/>
  <c r="H19" i="62"/>
  <c r="R12" i="1" s="1"/>
  <c r="G19" i="62"/>
  <c r="Q12" i="1" s="1"/>
  <c r="F19" i="62"/>
  <c r="P12" i="1" s="1"/>
  <c r="E19" i="62"/>
  <c r="O12" i="1" s="1"/>
  <c r="D19" i="62"/>
  <c r="N12" i="1" s="1"/>
  <c r="C19" i="62"/>
  <c r="M12" i="1" s="1"/>
  <c r="N18" i="62"/>
  <c r="M18" i="62"/>
  <c r="L18" i="62"/>
  <c r="K18" i="62"/>
  <c r="J18" i="62"/>
  <c r="I18" i="62"/>
  <c r="H18" i="62"/>
  <c r="G18" i="62"/>
  <c r="F18" i="62"/>
  <c r="E18" i="62"/>
  <c r="D18" i="62"/>
  <c r="N17" i="62"/>
  <c r="M17" i="62"/>
  <c r="L17" i="62"/>
  <c r="K17" i="62"/>
  <c r="J17" i="62"/>
  <c r="I17" i="62"/>
  <c r="H17" i="62"/>
  <c r="G17" i="62"/>
  <c r="F17" i="62"/>
  <c r="E17" i="62"/>
  <c r="D17" i="62"/>
  <c r="H11" i="62"/>
  <c r="L25" i="61"/>
  <c r="H25" i="61"/>
  <c r="D25" i="61"/>
  <c r="I11" i="61"/>
  <c r="F11" i="61"/>
  <c r="A11" i="61"/>
  <c r="G8" i="61"/>
  <c r="F6" i="61"/>
  <c r="L25" i="60"/>
  <c r="H25" i="60"/>
  <c r="D25" i="60"/>
  <c r="I11" i="60"/>
  <c r="F11" i="60"/>
  <c r="A11" i="60"/>
  <c r="G8" i="60"/>
  <c r="F6" i="60"/>
  <c r="V11" i="1"/>
  <c r="N11" i="1"/>
  <c r="N18" i="61"/>
  <c r="M18" i="61"/>
  <c r="L18" i="61"/>
  <c r="K18" i="61"/>
  <c r="J18" i="61"/>
  <c r="I18" i="61"/>
  <c r="H18" i="61"/>
  <c r="G18" i="61"/>
  <c r="F18" i="61"/>
  <c r="E18" i="61"/>
  <c r="D18" i="61"/>
  <c r="N17" i="61"/>
  <c r="M17" i="61"/>
  <c r="L17" i="61"/>
  <c r="K17" i="61"/>
  <c r="J17" i="61"/>
  <c r="I17" i="61"/>
  <c r="H17" i="61"/>
  <c r="G17" i="61"/>
  <c r="F17" i="61"/>
  <c r="E17" i="61"/>
  <c r="D17" i="61"/>
  <c r="H11" i="61"/>
  <c r="X10" i="1"/>
  <c r="W10" i="1"/>
  <c r="V10" i="1"/>
  <c r="U10" i="1"/>
  <c r="M10" i="1"/>
  <c r="N18" i="60"/>
  <c r="M18" i="60"/>
  <c r="L18" i="60"/>
  <c r="K18" i="60"/>
  <c r="J18" i="60"/>
  <c r="I18" i="60"/>
  <c r="H18" i="60"/>
  <c r="G18" i="60"/>
  <c r="F18" i="60"/>
  <c r="E18" i="60"/>
  <c r="D18" i="60"/>
  <c r="N17" i="60"/>
  <c r="M17" i="60"/>
  <c r="L17" i="60"/>
  <c r="K17" i="60"/>
  <c r="J17" i="60"/>
  <c r="I17" i="60"/>
  <c r="H17" i="60"/>
  <c r="G17" i="60"/>
  <c r="F17" i="60"/>
  <c r="E17" i="60"/>
  <c r="D17" i="60"/>
  <c r="H11" i="60"/>
  <c r="N19" i="61" l="1"/>
  <c r="X11" i="1" s="1"/>
  <c r="O22" i="61"/>
  <c r="O19" i="61" s="1"/>
  <c r="L11" i="1" s="1"/>
  <c r="E19" i="60"/>
  <c r="O10" i="1" s="1"/>
  <c r="O19" i="62"/>
  <c r="L12" i="1" s="1"/>
  <c r="L24" i="59"/>
  <c r="H24" i="59"/>
  <c r="D24" i="59"/>
  <c r="I11" i="59"/>
  <c r="F11" i="59"/>
  <c r="A11" i="59"/>
  <c r="G8" i="59"/>
  <c r="F6" i="59"/>
  <c r="L16" i="1"/>
  <c r="X16" i="1"/>
  <c r="W16" i="1"/>
  <c r="V16" i="1"/>
  <c r="U16" i="1"/>
  <c r="T16" i="1"/>
  <c r="S16" i="1"/>
  <c r="R16" i="1"/>
  <c r="Q16" i="1"/>
  <c r="P16" i="1"/>
  <c r="O16" i="1"/>
  <c r="N16" i="1"/>
  <c r="M16" i="1"/>
  <c r="N18" i="59"/>
  <c r="M18" i="59"/>
  <c r="L18" i="59"/>
  <c r="K18" i="59"/>
  <c r="J18" i="59"/>
  <c r="I18" i="59"/>
  <c r="H18" i="59"/>
  <c r="G18" i="59"/>
  <c r="F18" i="59"/>
  <c r="E18" i="59"/>
  <c r="D18" i="59"/>
  <c r="N17" i="59"/>
  <c r="M17" i="59"/>
  <c r="L17" i="59"/>
  <c r="K17" i="59"/>
  <c r="J17" i="59"/>
  <c r="I17" i="59"/>
  <c r="H17" i="59"/>
  <c r="G17" i="59"/>
  <c r="F17" i="59"/>
  <c r="E17" i="59"/>
  <c r="D17" i="59"/>
  <c r="H11" i="59"/>
  <c r="O21" i="58"/>
  <c r="O20" i="58"/>
  <c r="N19" i="58"/>
  <c r="X15" i="1" s="1"/>
  <c r="M19" i="58"/>
  <c r="W15" i="1" s="1"/>
  <c r="L19" i="58"/>
  <c r="V15" i="1" s="1"/>
  <c r="K19" i="58"/>
  <c r="U15" i="1" s="1"/>
  <c r="J19" i="58"/>
  <c r="T15" i="1" s="1"/>
  <c r="I19" i="58"/>
  <c r="S15" i="1" s="1"/>
  <c r="H19" i="58"/>
  <c r="R15" i="1" s="1"/>
  <c r="G19" i="58"/>
  <c r="Q15" i="1" s="1"/>
  <c r="F19" i="58"/>
  <c r="P15" i="1" s="1"/>
  <c r="E19" i="58"/>
  <c r="O15" i="1" s="1"/>
  <c r="D19" i="58"/>
  <c r="N15" i="1" s="1"/>
  <c r="C19" i="58"/>
  <c r="M15" i="1" s="1"/>
  <c r="L24" i="58"/>
  <c r="H24" i="58"/>
  <c r="D24" i="58"/>
  <c r="I11" i="58"/>
  <c r="F11" i="58"/>
  <c r="A11" i="58"/>
  <c r="G8" i="58"/>
  <c r="F6" i="58"/>
  <c r="N18" i="58"/>
  <c r="M18" i="58"/>
  <c r="L18" i="58"/>
  <c r="K18" i="58"/>
  <c r="J18" i="58"/>
  <c r="I18" i="58"/>
  <c r="H18" i="58"/>
  <c r="G18" i="58"/>
  <c r="F18" i="58"/>
  <c r="E18" i="58"/>
  <c r="D18" i="58"/>
  <c r="N17" i="58"/>
  <c r="M17" i="58"/>
  <c r="L17" i="58"/>
  <c r="K17" i="58"/>
  <c r="J17" i="58"/>
  <c r="I17" i="58"/>
  <c r="H17" i="58"/>
  <c r="G17" i="58"/>
  <c r="F17" i="58"/>
  <c r="E17" i="58"/>
  <c r="D17" i="58"/>
  <c r="H11" i="58"/>
  <c r="L24" i="56"/>
  <c r="H24" i="56"/>
  <c r="D24" i="56"/>
  <c r="I11" i="56"/>
  <c r="F11" i="56"/>
  <c r="A11" i="56"/>
  <c r="G8" i="56"/>
  <c r="F6" i="56"/>
  <c r="V9" i="1"/>
  <c r="L9" i="1"/>
  <c r="X9" i="1"/>
  <c r="W9" i="1"/>
  <c r="U9" i="1"/>
  <c r="T9" i="1"/>
  <c r="S9" i="1"/>
  <c r="R9" i="1"/>
  <c r="Q9" i="1"/>
  <c r="P9" i="1"/>
  <c r="O9" i="1"/>
  <c r="N9" i="1"/>
  <c r="M9" i="1"/>
  <c r="N18" i="56"/>
  <c r="M18" i="56"/>
  <c r="L18" i="56"/>
  <c r="K18" i="56"/>
  <c r="J18" i="56"/>
  <c r="I18" i="56"/>
  <c r="H18" i="56"/>
  <c r="G18" i="56"/>
  <c r="F18" i="56"/>
  <c r="E18" i="56"/>
  <c r="D18" i="56"/>
  <c r="N17" i="56"/>
  <c r="M17" i="56"/>
  <c r="L17" i="56"/>
  <c r="K17" i="56"/>
  <c r="J17" i="56"/>
  <c r="I17" i="56"/>
  <c r="H17" i="56"/>
  <c r="G17" i="56"/>
  <c r="F17" i="56"/>
  <c r="E17" i="56"/>
  <c r="D17" i="56"/>
  <c r="H11" i="56"/>
  <c r="L24" i="55"/>
  <c r="H24" i="55"/>
  <c r="D24" i="55"/>
  <c r="I11" i="55"/>
  <c r="F11" i="55"/>
  <c r="A11" i="55"/>
  <c r="G8" i="55"/>
  <c r="F6" i="55"/>
  <c r="O19" i="55"/>
  <c r="L8" i="1" s="1"/>
  <c r="N19" i="55"/>
  <c r="X8" i="1" s="1"/>
  <c r="M19" i="55"/>
  <c r="W8" i="1" s="1"/>
  <c r="L19" i="55"/>
  <c r="V8" i="1" s="1"/>
  <c r="K19" i="55"/>
  <c r="U8" i="1" s="1"/>
  <c r="J19" i="55"/>
  <c r="T8" i="1" s="1"/>
  <c r="I19" i="55"/>
  <c r="S8" i="1" s="1"/>
  <c r="H19" i="55"/>
  <c r="R8" i="1" s="1"/>
  <c r="G19" i="55"/>
  <c r="Q8" i="1" s="1"/>
  <c r="F19" i="55"/>
  <c r="P8" i="1" s="1"/>
  <c r="E19" i="55"/>
  <c r="O8" i="1" s="1"/>
  <c r="D19" i="55"/>
  <c r="N8" i="1" s="1"/>
  <c r="C19" i="55"/>
  <c r="M8" i="1" s="1"/>
  <c r="N18" i="55"/>
  <c r="M18" i="55"/>
  <c r="L18" i="55"/>
  <c r="K18" i="55"/>
  <c r="J18" i="55"/>
  <c r="I18" i="55"/>
  <c r="H18" i="55"/>
  <c r="G18" i="55"/>
  <c r="F18" i="55"/>
  <c r="E18" i="55"/>
  <c r="D18" i="55"/>
  <c r="N17" i="55"/>
  <c r="M17" i="55"/>
  <c r="L17" i="55"/>
  <c r="K17" i="55"/>
  <c r="J17" i="55"/>
  <c r="I17" i="55"/>
  <c r="H17" i="55"/>
  <c r="G17" i="55"/>
  <c r="F17" i="55"/>
  <c r="E17" i="55"/>
  <c r="D17" i="55"/>
  <c r="H11" i="55"/>
  <c r="O19" i="36"/>
  <c r="C19" i="36"/>
  <c r="D19" i="36"/>
  <c r="E19" i="36"/>
  <c r="G8" i="38"/>
  <c r="G8" i="36"/>
  <c r="F19" i="60" l="1"/>
  <c r="P10" i="1" s="1"/>
  <c r="E21" i="66"/>
  <c r="C21" i="66"/>
  <c r="D21" i="66"/>
  <c r="O19" i="58"/>
  <c r="L15" i="1" s="1"/>
  <c r="N19" i="36"/>
  <c r="M19" i="36"/>
  <c r="L19" i="36"/>
  <c r="K19" i="36"/>
  <c r="J19" i="36"/>
  <c r="J21" i="66" s="1"/>
  <c r="J19" i="66" s="1"/>
  <c r="I19" i="36"/>
  <c r="H19" i="36"/>
  <c r="G19" i="36"/>
  <c r="F19" i="36"/>
  <c r="N18" i="36"/>
  <c r="M18" i="36"/>
  <c r="L18" i="36"/>
  <c r="K18" i="36"/>
  <c r="J18" i="36"/>
  <c r="I18" i="36"/>
  <c r="H18" i="36"/>
  <c r="G18" i="36"/>
  <c r="F18" i="36"/>
  <c r="E18" i="36"/>
  <c r="D18" i="36"/>
  <c r="N17" i="36"/>
  <c r="M17" i="36"/>
  <c r="L17" i="36"/>
  <c r="K17" i="36"/>
  <c r="J17" i="36"/>
  <c r="I17" i="36"/>
  <c r="H17" i="36"/>
  <c r="G17" i="36"/>
  <c r="F17" i="36"/>
  <c r="E17" i="36"/>
  <c r="D17" i="36"/>
  <c r="G19" i="60" l="1"/>
  <c r="Q10" i="1" s="1"/>
  <c r="G21" i="66"/>
  <c r="I21" i="66"/>
  <c r="F21" i="66"/>
  <c r="H21" i="66"/>
  <c r="C19" i="66"/>
  <c r="E19" i="66"/>
  <c r="D19" i="66"/>
  <c r="O13" i="1"/>
  <c r="O21" i="1" l="1"/>
  <c r="T21" i="1"/>
  <c r="N21" i="1"/>
  <c r="M21" i="1"/>
  <c r="H19" i="60"/>
  <c r="R10" i="1" s="1"/>
  <c r="O21" i="66"/>
  <c r="I19" i="66"/>
  <c r="H19" i="66"/>
  <c r="F19" i="66"/>
  <c r="G19" i="66"/>
  <c r="N14" i="1"/>
  <c r="O14" i="1"/>
  <c r="P14" i="1"/>
  <c r="Q14" i="1"/>
  <c r="R14" i="1"/>
  <c r="S14" i="1"/>
  <c r="T14" i="1"/>
  <c r="U14" i="1"/>
  <c r="V14" i="1"/>
  <c r="W14" i="1"/>
  <c r="X14" i="1"/>
  <c r="M14" i="1"/>
  <c r="L24" i="38"/>
  <c r="H24" i="38"/>
  <c r="D24" i="38"/>
  <c r="I11" i="38"/>
  <c r="H11" i="38"/>
  <c r="F11" i="38"/>
  <c r="A11" i="38"/>
  <c r="F6" i="38"/>
  <c r="N18" i="38"/>
  <c r="M18" i="38"/>
  <c r="L18" i="38"/>
  <c r="K18" i="38"/>
  <c r="J18" i="38"/>
  <c r="I18" i="38"/>
  <c r="H18" i="38"/>
  <c r="G18" i="38"/>
  <c r="F18" i="38"/>
  <c r="E18" i="38"/>
  <c r="D18" i="38"/>
  <c r="N17" i="38"/>
  <c r="M17" i="38"/>
  <c r="L17" i="38"/>
  <c r="K17" i="38"/>
  <c r="J17" i="38"/>
  <c r="I17" i="38"/>
  <c r="H17" i="38"/>
  <c r="G17" i="38"/>
  <c r="F17" i="38"/>
  <c r="E17" i="38"/>
  <c r="D17" i="38"/>
  <c r="L24" i="36"/>
  <c r="H24" i="36"/>
  <c r="D24" i="36"/>
  <c r="I11" i="36"/>
  <c r="H11" i="36"/>
  <c r="F11" i="36"/>
  <c r="A11" i="36"/>
  <c r="F6" i="36"/>
  <c r="X13" i="1"/>
  <c r="W13" i="1"/>
  <c r="V13" i="1"/>
  <c r="U13" i="1"/>
  <c r="T13" i="1"/>
  <c r="S13" i="1"/>
  <c r="R13" i="1"/>
  <c r="Q13" i="1"/>
  <c r="P13" i="1"/>
  <c r="N13" i="1"/>
  <c r="M13" i="1"/>
  <c r="L13" i="1"/>
  <c r="P21" i="1" l="1"/>
  <c r="S21" i="1"/>
  <c r="R21" i="1"/>
  <c r="I19" i="60"/>
  <c r="S10" i="1" s="1"/>
  <c r="O20" i="66"/>
  <c r="O19" i="66" s="1"/>
  <c r="Q21" i="1"/>
  <c r="L21" i="1" l="1"/>
  <c r="J19" i="60"/>
  <c r="T10" i="1" s="1"/>
  <c r="O22" i="60"/>
  <c r="O19" i="60" s="1"/>
  <c r="L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<sst xmlns="http://schemas.openxmlformats.org/spreadsheetml/2006/main" count="1194" uniqueCount="276">
  <si>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</si>
  <si>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</si>
  <si>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</si>
  <si>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</si>
  <si>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</si>
  <si>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</si>
  <si>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</si>
  <si>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</si>
  <si>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</si>
  <si>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</si>
  <si>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</si>
  <si>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</si>
  <si>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</si>
  <si>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</si>
  <si>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</si>
  <si>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</si>
  <si>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</si>
  <si>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</si>
  <si>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</si>
  <si>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</si>
  <si>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sz val="10"/>
        <rFont val="Tahoma"/>
        <family val="2"/>
      </rPr>
      <t xml:space="preserve">FORMATO: </t>
    </r>
    <r>
      <rPr>
        <b/>
        <sz val="10"/>
        <rFont val="Tahoma"/>
        <family val="2"/>
      </rPr>
      <t>MATRIZ DE REGISTRO Y MEDICIÓN DE INDICADORES</t>
    </r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</si>
  <si>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</si>
  <si>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</si>
  <si>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</si>
  <si>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</si>
  <si>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</si>
  <si>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</si>
  <si>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</si>
  <si>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</si>
  <si>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</si>
  <si>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</si>
  <si>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</si>
  <si>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</si>
  <si>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</si>
  <si>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</si>
  <si>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</si>
  <si>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</si>
  <si>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</si>
  <si>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</si>
  <si>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</si>
  <si>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</si>
  <si>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</si>
  <si>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</si>
  <si>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</si>
  <si>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>IN04</t>
  </si>
  <si>
    <t>IN05</t>
  </si>
  <si>
    <t>IN06</t>
  </si>
  <si>
    <t>IN07</t>
  </si>
  <si>
    <t>IN08</t>
  </si>
  <si>
    <t>IN09</t>
  </si>
  <si>
    <t>SET INDICADORES GESTIÓN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</si>
  <si>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</si>
  <si>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</si>
  <si>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</si>
  <si>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</si>
  <si>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</si>
  <si>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</si>
  <si>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</si>
  <si>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</si>
  <si>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</si>
  <si>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</si>
  <si>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</si>
  <si>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</si>
  <si>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</si>
  <si>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</si>
  <si>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</si>
  <si>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</si>
  <si>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</si>
  <si>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</si>
  <si>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</si>
  <si>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</si>
  <si>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</si>
  <si>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</si>
  <si>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</si>
  <si>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</si>
  <si>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</si>
  <si>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</si>
  <si>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</si>
  <si>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</si>
  <si>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</si>
  <si>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</si>
  <si>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</si>
  <si>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</si>
  <si>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</si>
  <si>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</si>
  <si>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</si>
  <si>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</si>
  <si>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</si>
  <si>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</si>
  <si>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</si>
  <si>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</si>
  <si>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</si>
  <si>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</si>
  <si>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AH-SP-</t>
  </si>
  <si>
    <t>IN10</t>
  </si>
  <si>
    <t>IN11</t>
  </si>
  <si>
    <t>IN12</t>
  </si>
  <si>
    <t>IN13</t>
  </si>
  <si>
    <t>Eficiencia de Recaudo  Corriente</t>
  </si>
  <si>
    <t>Eficiencia de Recaudo Total</t>
  </si>
  <si>
    <t>Cobertura de medición</t>
  </si>
  <si>
    <t>Calidad del Agua</t>
  </si>
  <si>
    <t>Índice de agua no contabilizada</t>
  </si>
  <si>
    <t>Continuidad del Servicio (Aseo)</t>
  </si>
  <si>
    <t>Disposición en Relleno Sanitario</t>
  </si>
  <si>
    <t>(Valor  Recaudado  Corriente Usuario Final / Valor  Facturado Corriente Usuario Final) x100%</t>
  </si>
  <si>
    <t>Menor al 59%</t>
  </si>
  <si>
    <t>Entre 60% y 79%</t>
  </si>
  <si>
    <t>Entre 80% y 100%</t>
  </si>
  <si>
    <t>Entre 60% y 70%</t>
  </si>
  <si>
    <t>Entre 71% y 100%</t>
  </si>
  <si>
    <t>Días</t>
  </si>
  <si>
    <t>(Cuentas por Cobrar  a particulares y/o oficiales /  Valor Facturado Usuarios particulares y/o oficiales) x 365</t>
  </si>
  <si>
    <t xml:space="preserve">(Inversión realizada / Inversión presupuestada) x 100% </t>
  </si>
  <si>
    <t xml:space="preserve">(Residuos sólidos recolectada/ Residuos sólidos producidos) x 100%           </t>
  </si>
  <si>
    <t xml:space="preserve">Medición de acuerdo al IRCA          </t>
  </si>
  <si>
    <t>Mayor al 8%</t>
  </si>
  <si>
    <t>Entre el 5% y el 8%</t>
  </si>
  <si>
    <t>Menor al 5%</t>
  </si>
  <si>
    <t xml:space="preserve">(Volumen  producido - Volumen facturado /   Volumen  producido)   x 100          </t>
  </si>
  <si>
    <t>Mayor al 50%</t>
  </si>
  <si>
    <t>Entre el 30% y el 50%</t>
  </si>
  <si>
    <t>Menor al 30%</t>
  </si>
  <si>
    <t>Menor al 70%</t>
  </si>
  <si>
    <t>Entre 71% y 90%</t>
  </si>
  <si>
    <t>Entre 91% y 100%</t>
  </si>
  <si>
    <t>Mayor a 45 días</t>
  </si>
  <si>
    <t>Entre 31 y 45 días</t>
  </si>
  <si>
    <t>Menor a 31 días</t>
  </si>
  <si>
    <t>Vr. Facturado corriente usuario final</t>
  </si>
  <si>
    <t>Vr. recaudado corriente usuario final</t>
  </si>
  <si>
    <t>Vr. Total Facturado usuario final</t>
  </si>
  <si>
    <t>Vr. Total Recaudado usuario final</t>
  </si>
  <si>
    <t>Cuentas por cobrar a particulares y/o entidades oficiales</t>
  </si>
  <si>
    <t>Inversión Presupuestada</t>
  </si>
  <si>
    <t>No. de suscriptores</t>
  </si>
  <si>
    <t>No. de domicilios</t>
  </si>
  <si>
    <t>Residuos sólidos recolectados</t>
  </si>
  <si>
    <t>Residuos sólidos producidos</t>
  </si>
  <si>
    <t>No. de medidores en servicio</t>
  </si>
  <si>
    <t>Resultados medición metodológia IRCA</t>
  </si>
  <si>
    <t xml:space="preserve">Volumen producido </t>
  </si>
  <si>
    <t>Volumen facturado</t>
  </si>
  <si>
    <t>Residuos sólidos en relleno sanitario</t>
  </si>
  <si>
    <t>(Residuos sólidos en relleno sanitario / Residuos sólidos producidos)     x 100    %</t>
  </si>
  <si>
    <t>Medir la eficiencia en el recaudo corriente de la prestación de los servicios pubicos domiciliarios de Aguas del Huila.</t>
  </si>
  <si>
    <t>Medir la eficiencia en el recaudo total de la prestación de los servicios pubicos domiciliarios de Aguas del Huila.</t>
  </si>
  <si>
    <t>Controlar la cartera existentes de servicios publicos por edades con el fin de evaluar la rotación de la misma.</t>
  </si>
  <si>
    <t>Realizar el seguimiento a la ejecución de la inversión establecida para la vigencia fiscal respectiva.</t>
  </si>
  <si>
    <t xml:space="preserve">Medir el grado de cobertura en   la prestación del servicio de alcantarillado administrado  por Aguas del Huila. </t>
  </si>
  <si>
    <t xml:space="preserve">Medir el grado de cobertura en   la prestación del servicio de acueducto administrado por Aguas del Huila. </t>
  </si>
  <si>
    <t xml:space="preserve">Medir el grado de cobertura en   la prestación del servicio de aseo administrado  por Aguas del Huila. </t>
  </si>
  <si>
    <t>Lograr que Aguas del Huila facture la totalidad del agua producida.</t>
  </si>
  <si>
    <t>Lograr que los suscriptores del servicio de acueducto de Aguas del Huila, tengan su instrumento medición.</t>
  </si>
  <si>
    <t>Prestar el servico de acueducto en forma continua las 24 horas.</t>
  </si>
  <si>
    <t>Disponer la totalidad de los residuos solidos recolectados en el sitio de disposición final.</t>
  </si>
  <si>
    <t>IN14</t>
  </si>
  <si>
    <t>Monitorear la calidad de agua suministrada a los usuarios por parte de Aguas de Huila.</t>
  </si>
  <si>
    <t>PQR en la prestación del servicio.</t>
  </si>
  <si>
    <t>Medir el grado de satisfación de los suscriptores en la prestación del servicio.</t>
  </si>
  <si>
    <t>Entre 0 y 10%</t>
  </si>
  <si>
    <t>Entre 11% y el 20%</t>
  </si>
  <si>
    <t>Mayor al 21%</t>
  </si>
  <si>
    <t>Número de PQR recibidas</t>
  </si>
  <si>
    <t>Número de suscriptores del servicio</t>
  </si>
  <si>
    <t>(720 - Horas sin servicio mensuales) / 720) * 100</t>
  </si>
  <si>
    <t>Recolectar los residuos solidos en los dias y rutas establecidas en el PGIRS.</t>
  </si>
  <si>
    <t>Horas sin servicio mensual</t>
  </si>
  <si>
    <t>GESTIÓN DE SERVICIOS PÚBLICOS - TARQUÍ</t>
  </si>
  <si>
    <t>Inversión realizada por mes</t>
  </si>
  <si>
    <t>Inversión Acumulada en el periodo</t>
  </si>
  <si>
    <t>&lt; 15%</t>
  </si>
  <si>
    <t>&lt; 5%</t>
  </si>
  <si>
    <t>Cobertura   (Acueducto)</t>
  </si>
  <si>
    <t>Cobertura   (Alcantarillado)</t>
  </si>
  <si>
    <t xml:space="preserve">Cobertura   (Servicio de Aseo) </t>
  </si>
  <si>
    <t>Continuidad del servicio (Acueducto)</t>
  </si>
  <si>
    <t xml:space="preserve">Rotación de Cartera </t>
  </si>
  <si>
    <t>Ejecución de inversiones</t>
  </si>
  <si>
    <t>TABLERO DE INDICADORES BÁSICOS PARA EMPRESAS DE ACUEDUCTO, ALCANTARILLADO Y ASEO</t>
  </si>
  <si>
    <r>
      <t xml:space="preserve">MUNICIPIO : </t>
    </r>
    <r>
      <rPr>
        <sz val="16"/>
        <rFont val="Arial"/>
        <family val="2"/>
      </rPr>
      <t>TARQUI</t>
    </r>
  </si>
  <si>
    <t>EMPRESA: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</si>
  <si>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</si>
  <si>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</si>
  <si>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</si>
  <si>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</si>
  <si>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</si>
  <si>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</si>
  <si>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</si>
  <si>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</si>
  <si>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</si>
  <si>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</si>
  <si>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</si>
  <si>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</si>
  <si>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</si>
  <si>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</si>
  <si>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</si>
  <si>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</si>
  <si>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</si>
  <si>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</si>
  <si>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</si>
  <si>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</si>
  <si>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</si>
  <si>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</si>
  <si>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</si>
  <si>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</si>
  <si>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</si>
  <si>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</si>
  <si>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</si>
  <si>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</si>
  <si>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</si>
  <si>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</si>
  <si>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</si>
  <si>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</si>
  <si>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</si>
  <si>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</si>
  <si>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</si>
  <si>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Toneladas dispuestas Aseo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</si>
  <si>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</si>
  <si>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</si>
  <si>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</si>
  <si>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</si>
  <si>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</si>
  <si>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</si>
  <si>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</si>
  <si>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</si>
  <si>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</si>
  <si>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</si>
  <si>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</si>
  <si>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</si>
  <si>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</si>
  <si>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</si>
  <si>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</si>
  <si>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</si>
  <si>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</si>
  <si>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</si>
  <si>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</si>
  <si>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</si>
  <si>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</si>
  <si>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</si>
  <si>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</si>
  <si>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</si>
  <si>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</si>
  <si>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($/m3)</t>
  </si>
  <si>
    <t>Utilidad neta</t>
  </si>
  <si>
    <t>INDICADORES DE COBERTURA</t>
  </si>
  <si>
    <t>COBERTURAS DE SERVICIO</t>
  </si>
  <si>
    <t>Vr. Facturado usuarios particulares y/o entidades oficiales - Mes</t>
  </si>
  <si>
    <t>Vr. Facturado usuarios particulares y/o entidades oficiales - Acumulado</t>
  </si>
  <si>
    <t>AGUAS DEL HUILA S.A. E.S.P.</t>
  </si>
  <si>
    <t>(Valor  Recaudado  Total Usuario Final / Valor  total Facturado usuario Final) x100%</t>
  </si>
  <si>
    <t>No. de suscriptores acueducto</t>
  </si>
  <si>
    <t>No. de suscriptores alcantarillado</t>
  </si>
  <si>
    <t xml:space="preserve">(Número de Suscriptores servicio de acueducto / Número de Domicilios) x 100% </t>
  </si>
  <si>
    <t xml:space="preserve">(Número de Suscriptores servicio de alcantarillado / Número de Domicilios) x 100%  </t>
  </si>
  <si>
    <t xml:space="preserve">(Número de Medidores en servicio / Número de Suscriptores) x 100%          </t>
  </si>
  <si>
    <t>Número de dias de recolección de residuos sólidos por semestre / 144</t>
  </si>
  <si>
    <t xml:space="preserve">Número de PQR recibidas / número de suscriptores del servicio*100 </t>
  </si>
  <si>
    <t>No de horas sin servicio</t>
  </si>
  <si>
    <t>No. de PQR recibidas</t>
  </si>
  <si>
    <t>Calidad fisicoquímica</t>
  </si>
  <si>
    <t>RESULTADOS DE LA VIGENCIA</t>
  </si>
  <si>
    <t>Volúmen de vertimiento de alcantarillado facturado</t>
  </si>
  <si>
    <t>&lt; 1%</t>
  </si>
  <si>
    <t>NIT 800'100.553-2</t>
  </si>
  <si>
    <t>Con recursos de las tarifas nos se contempla la ejecucion de inversiones</t>
  </si>
  <si>
    <t>No. de días de recolección de residuos sólidos en el mes</t>
  </si>
  <si>
    <t>IPUF</t>
  </si>
  <si>
    <t>119.54</t>
  </si>
  <si>
    <t>102.71</t>
  </si>
  <si>
    <t>Versión 8.0</t>
  </si>
  <si>
    <t>RESULTADOS VIGENCIA 2025</t>
  </si>
  <si>
    <t>META 2025</t>
  </si>
  <si>
    <t>NIT 800.100.553-2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</si>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</sst>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_-* #,##0_-;\-* #,##0_-;_-* &quot;-&quot;??_-;_-@_-"/>
    <numFmt numFmtId="168" formatCode="_ * #,##0.00_ ;_ * \-#,##0.00_ ;_ * &quot;-&quot;??_ ;_ @_ "/>
    <numFmt numFmtId="169" formatCode="_(* #,##0_);_(* \(#,##0\);_(* &quot;-&quot;??_);_(@_)"/>
    <numFmt numFmtId="170" formatCode="_(* #,##0.00_);_(* \(#,##0.00\);_(* &quot;-&quot;??_);_(@_)"/>
    <numFmt numFmtId="171" formatCode="_(* #,##0.0_);_(* \(#,##0.0\);_(* &quot;-&quot;??_);_(@_)"/>
    <numFmt numFmtId="172" formatCode="_-* #,##0.0000_-;\-* #,##0.0000_-;_-* &quot;-&quot;??_-;_-@_-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theme="1"/>
      <name val="Calibri"/>
      <family val="2"/>
      <scheme val="minor"/>
    </font>
    <font>
      <i/>
      <sz val="8"/>
      <name val="Tahoma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170" fontId="23" fillId="0" borderId="0" applyFont="0" applyFill="0" applyBorder="0" applyAlignment="0" applyProtection="0"/>
  </cellStyleXfs>
  <cellXfs count="318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65" fontId="8" fillId="0" borderId="22" xfId="1" applyNumberFormat="1" applyFont="1" applyBorder="1" applyAlignment="1">
      <alignment vertical="center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165" fontId="8" fillId="7" borderId="29" xfId="1" applyNumberFormat="1" applyFont="1" applyFill="1" applyBorder="1" applyAlignment="1">
      <alignment vertical="center"/>
    </xf>
    <xf numFmtId="164" fontId="9" fillId="7" borderId="12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vertical="center"/>
    </xf>
    <xf numFmtId="3" fontId="8" fillId="7" borderId="15" xfId="1" applyNumberFormat="1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7" borderId="30" xfId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 textRotation="90" wrapText="1"/>
    </xf>
    <xf numFmtId="164" fontId="15" fillId="0" borderId="36" xfId="0" applyNumberFormat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166" fontId="9" fillId="7" borderId="12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0" fontId="17" fillId="0" borderId="36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6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vertical="top" wrapText="1"/>
    </xf>
    <xf numFmtId="0" fontId="16" fillId="0" borderId="37" xfId="0" applyFont="1" applyBorder="1" applyAlignment="1">
      <alignment horizontal="left" vertical="top" wrapText="1"/>
    </xf>
    <xf numFmtId="0" fontId="20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vertical="center"/>
    </xf>
    <xf numFmtId="166" fontId="15" fillId="0" borderId="36" xfId="0" applyNumberFormat="1" applyFont="1" applyBorder="1" applyAlignment="1">
      <alignment horizontal="center" vertical="center" textRotation="90" wrapText="1"/>
    </xf>
    <xf numFmtId="0" fontId="9" fillId="0" borderId="22" xfId="1" applyFont="1" applyBorder="1" applyAlignment="1">
      <alignment horizontal="justify" vertical="top" wrapText="1"/>
    </xf>
    <xf numFmtId="3" fontId="8" fillId="7" borderId="1" xfId="1" applyNumberFormat="1" applyFont="1" applyFill="1" applyBorder="1" applyAlignment="1">
      <alignment horizontal="right" vertical="center"/>
    </xf>
    <xf numFmtId="3" fontId="8" fillId="7" borderId="15" xfId="1" applyNumberFormat="1" applyFont="1" applyFill="1" applyBorder="1" applyAlignment="1">
      <alignment horizontal="right" vertical="center"/>
    </xf>
    <xf numFmtId="9" fontId="0" fillId="0" borderId="0" xfId="2" applyFont="1"/>
    <xf numFmtId="3" fontId="9" fillId="0" borderId="1" xfId="1" applyNumberFormat="1" applyFont="1" applyBorder="1" applyAlignment="1">
      <alignment vertical="center"/>
    </xf>
    <xf numFmtId="3" fontId="9" fillId="7" borderId="15" xfId="1" applyNumberFormat="1" applyFont="1" applyFill="1" applyBorder="1" applyAlignment="1">
      <alignment vertical="center"/>
    </xf>
    <xf numFmtId="9" fontId="10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vertical="center"/>
    </xf>
    <xf numFmtId="4" fontId="8" fillId="7" borderId="15" xfId="1" applyNumberFormat="1" applyFont="1" applyFill="1" applyBorder="1" applyAlignment="1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 applyProtection="1">
      <alignment horizontal="center"/>
      <protection locked="0"/>
    </xf>
    <xf numFmtId="17" fontId="25" fillId="0" borderId="0" xfId="1" applyNumberFormat="1" applyFont="1" applyAlignment="1">
      <alignment horizontal="center"/>
    </xf>
    <xf numFmtId="167" fontId="1" fillId="0" borderId="0" xfId="3" applyNumberFormat="1" applyFill="1" applyBorder="1" applyProtection="1">
      <protection locked="0"/>
    </xf>
    <xf numFmtId="167" fontId="1" fillId="0" borderId="0" xfId="1" applyNumberFormat="1" applyProtection="1">
      <protection locked="0"/>
    </xf>
    <xf numFmtId="164" fontId="8" fillId="7" borderId="1" xfId="1" applyNumberFormat="1" applyFont="1" applyFill="1" applyBorder="1" applyAlignment="1">
      <alignment horizontal="center" vertical="center"/>
    </xf>
    <xf numFmtId="164" fontId="8" fillId="7" borderId="15" xfId="1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0" fontId="2" fillId="0" borderId="0" xfId="1" applyFont="1"/>
    <xf numFmtId="0" fontId="3" fillId="10" borderId="1" xfId="1" applyFont="1" applyFill="1" applyBorder="1" applyAlignment="1">
      <alignment horizontal="center" vertical="center"/>
    </xf>
    <xf numFmtId="17" fontId="25" fillId="10" borderId="1" xfId="1" applyNumberFormat="1" applyFont="1" applyFill="1" applyBorder="1" applyAlignment="1">
      <alignment horizontal="center" vertical="center"/>
    </xf>
    <xf numFmtId="0" fontId="2" fillId="0" borderId="1" xfId="1" quotePrefix="1" applyFont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7" fontId="1" fillId="0" borderId="1" xfId="3" applyNumberFormat="1" applyFont="1" applyBorder="1" applyAlignment="1" applyProtection="1">
      <alignment vertical="center"/>
      <protection locked="0"/>
    </xf>
    <xf numFmtId="167" fontId="1" fillId="13" borderId="1" xfId="3" applyNumberFormat="1" applyFont="1" applyFill="1" applyBorder="1" applyAlignment="1" applyProtection="1">
      <alignment vertical="center"/>
      <protection locked="0"/>
    </xf>
    <xf numFmtId="0" fontId="2" fillId="11" borderId="1" xfId="1" quotePrefix="1" applyFont="1" applyFill="1" applyBorder="1" applyAlignment="1">
      <alignment horizontal="right" vertical="center"/>
    </xf>
    <xf numFmtId="0" fontId="2" fillId="11" borderId="1" xfId="1" applyFont="1" applyFill="1" applyBorder="1" applyAlignment="1">
      <alignment vertical="center"/>
    </xf>
    <xf numFmtId="0" fontId="2" fillId="11" borderId="1" xfId="1" applyFont="1" applyFill="1" applyBorder="1" applyAlignment="1">
      <alignment horizontal="center" vertical="center"/>
    </xf>
    <xf numFmtId="167" fontId="1" fillId="11" borderId="1" xfId="3" applyNumberFormat="1" applyFont="1" applyFill="1" applyBorder="1" applyAlignment="1" applyProtection="1">
      <alignment vertical="center"/>
      <protection locked="0"/>
    </xf>
    <xf numFmtId="167" fontId="1" fillId="0" borderId="1" xfId="1" applyNumberFormat="1" applyBorder="1" applyAlignment="1" applyProtection="1">
      <alignment vertical="center"/>
      <protection locked="0"/>
    </xf>
    <xf numFmtId="167" fontId="1" fillId="11" borderId="1" xfId="1" applyNumberFormat="1" applyFill="1" applyBorder="1" applyAlignment="1" applyProtection="1">
      <alignment vertical="center"/>
      <protection locked="0"/>
    </xf>
    <xf numFmtId="167" fontId="1" fillId="0" borderId="1" xfId="3" applyNumberFormat="1" applyFont="1" applyFill="1" applyBorder="1" applyAlignment="1" applyProtection="1">
      <alignment vertical="center"/>
      <protection locked="0"/>
    </xf>
    <xf numFmtId="0" fontId="1" fillId="11" borderId="1" xfId="1" applyFill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11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68" fontId="5" fillId="11" borderId="1" xfId="4" applyFont="1" applyFill="1" applyBorder="1" applyAlignment="1">
      <alignment horizontal="center" vertical="center"/>
    </xf>
    <xf numFmtId="17" fontId="1" fillId="12" borderId="1" xfId="1" applyNumberFormat="1" applyFill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2" fillId="11" borderId="1" xfId="1" applyFont="1" applyFill="1" applyBorder="1" applyAlignment="1">
      <alignment horizontal="center" vertical="center" wrapText="1"/>
    </xf>
    <xf numFmtId="9" fontId="1" fillId="14" borderId="1" xfId="5" applyFont="1" applyFill="1" applyBorder="1" applyAlignment="1">
      <alignment horizontal="center" vertical="center"/>
    </xf>
    <xf numFmtId="9" fontId="2" fillId="0" borderId="1" xfId="5" applyFont="1" applyFill="1" applyBorder="1" applyAlignment="1">
      <alignment horizontal="center" vertical="center"/>
    </xf>
    <xf numFmtId="4" fontId="1" fillId="14" borderId="1" xfId="1" applyNumberFormat="1" applyFill="1" applyBorder="1" applyAlignment="1">
      <alignment horizontal="center" vertical="center"/>
    </xf>
    <xf numFmtId="167" fontId="1" fillId="14" borderId="1" xfId="3" applyNumberFormat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164" fontId="10" fillId="7" borderId="15" xfId="1" applyNumberFormat="1" applyFont="1" applyFill="1" applyBorder="1" applyAlignment="1">
      <alignment vertical="center"/>
    </xf>
    <xf numFmtId="3" fontId="10" fillId="7" borderId="15" xfId="1" applyNumberFormat="1" applyFont="1" applyFill="1" applyBorder="1" applyAlignment="1">
      <alignment vertical="center"/>
    </xf>
    <xf numFmtId="164" fontId="14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horizontal="center" vertical="center"/>
    </xf>
    <xf numFmtId="167" fontId="1" fillId="0" borderId="0" xfId="1" applyNumberFormat="1"/>
    <xf numFmtId="167" fontId="1" fillId="15" borderId="1" xfId="3" applyNumberFormat="1" applyFont="1" applyFill="1" applyBorder="1" applyAlignment="1" applyProtection="1">
      <alignment vertical="center"/>
      <protection locked="0"/>
    </xf>
    <xf numFmtId="167" fontId="1" fillId="15" borderId="1" xfId="1" applyNumberFormat="1" applyFill="1" applyBorder="1" applyAlignment="1" applyProtection="1">
      <alignment horizontal="center" vertical="center"/>
      <protection locked="0"/>
    </xf>
    <xf numFmtId="164" fontId="30" fillId="15" borderId="1" xfId="5" applyNumberFormat="1" applyFont="1" applyFill="1" applyBorder="1" applyAlignment="1" applyProtection="1">
      <alignment horizontal="center" vertical="center"/>
      <protection locked="0"/>
    </xf>
    <xf numFmtId="9" fontId="30" fillId="15" borderId="1" xfId="5" applyFont="1" applyFill="1" applyBorder="1" applyAlignment="1" applyProtection="1">
      <alignment horizontal="center" vertical="center"/>
      <protection locked="0"/>
    </xf>
    <xf numFmtId="10" fontId="1" fillId="15" borderId="1" xfId="5" applyNumberFormat="1" applyFont="1" applyFill="1" applyBorder="1" applyAlignment="1">
      <alignment horizontal="center" vertical="center"/>
    </xf>
    <xf numFmtId="167" fontId="1" fillId="0" borderId="1" xfId="1" applyNumberFormat="1" applyBorder="1" applyAlignment="1" applyProtection="1">
      <alignment horizontal="center" vertical="center"/>
      <protection locked="0"/>
    </xf>
    <xf numFmtId="167" fontId="1" fillId="11" borderId="1" xfId="1" applyNumberFormat="1" applyFill="1" applyBorder="1" applyAlignment="1">
      <alignment horizontal="center" vertical="center"/>
    </xf>
    <xf numFmtId="43" fontId="1" fillId="0" borderId="1" xfId="1" applyNumberFormat="1" applyBorder="1" applyAlignment="1" applyProtection="1">
      <alignment horizontal="center" vertical="center"/>
      <protection locked="0"/>
    </xf>
    <xf numFmtId="43" fontId="1" fillId="11" borderId="1" xfId="1" applyNumberFormat="1" applyFill="1" applyBorder="1" applyAlignment="1">
      <alignment horizontal="center" vertical="center"/>
    </xf>
    <xf numFmtId="167" fontId="1" fillId="16" borderId="1" xfId="3" applyNumberFormat="1" applyFont="1" applyFill="1" applyBorder="1" applyAlignment="1" applyProtection="1">
      <alignment vertical="center"/>
      <protection locked="0"/>
    </xf>
    <xf numFmtId="167" fontId="1" fillId="0" borderId="0" xfId="3" applyNumberFormat="1" applyFont="1" applyFill="1" applyBorder="1" applyProtection="1">
      <protection locked="0"/>
    </xf>
    <xf numFmtId="167" fontId="25" fillId="0" borderId="0" xfId="1" applyNumberFormat="1" applyFont="1" applyAlignment="1">
      <alignment horizontal="center"/>
    </xf>
    <xf numFmtId="167" fontId="35" fillId="11" borderId="1" xfId="3" applyNumberFormat="1" applyFont="1" applyFill="1" applyBorder="1" applyAlignment="1" applyProtection="1">
      <alignment vertical="center"/>
      <protection locked="0"/>
    </xf>
    <xf numFmtId="167" fontId="35" fillId="0" borderId="0" xfId="3" applyNumberFormat="1" applyFont="1" applyFill="1" applyBorder="1" applyProtection="1">
      <protection locked="0"/>
    </xf>
    <xf numFmtId="0" fontId="35" fillId="0" borderId="0" xfId="1" applyFont="1"/>
    <xf numFmtId="43" fontId="1" fillId="0" borderId="0" xfId="1" applyNumberFormat="1"/>
    <xf numFmtId="167" fontId="36" fillId="11" borderId="1" xfId="3" applyNumberFormat="1" applyFont="1" applyFill="1" applyBorder="1" applyAlignment="1" applyProtection="1">
      <alignment vertical="center"/>
      <protection locked="0"/>
    </xf>
    <xf numFmtId="167" fontId="36" fillId="0" borderId="1" xfId="3" applyNumberFormat="1" applyFont="1" applyBorder="1" applyAlignment="1" applyProtection="1">
      <alignment vertical="center"/>
      <protection locked="0"/>
    </xf>
    <xf numFmtId="167" fontId="36" fillId="0" borderId="1" xfId="3" applyNumberFormat="1" applyFont="1" applyFill="1" applyBorder="1" applyAlignment="1" applyProtection="1">
      <alignment vertical="center"/>
      <protection locked="0"/>
    </xf>
    <xf numFmtId="167" fontId="1" fillId="11" borderId="1" xfId="9" applyNumberFormat="1" applyFont="1" applyFill="1" applyBorder="1" applyAlignment="1" applyProtection="1">
      <alignment horizontal="center" vertical="center"/>
      <protection locked="0"/>
    </xf>
    <xf numFmtId="167" fontId="36" fillId="16" borderId="1" xfId="3" applyNumberFormat="1" applyFont="1" applyFill="1" applyBorder="1" applyAlignment="1" applyProtection="1">
      <alignment vertical="center"/>
      <protection locked="0"/>
    </xf>
    <xf numFmtId="0" fontId="3" fillId="11" borderId="1" xfId="1" quotePrefix="1" applyFont="1" applyFill="1" applyBorder="1" applyAlignment="1">
      <alignment horizontal="right" vertical="center"/>
    </xf>
    <xf numFmtId="0" fontId="3" fillId="11" borderId="1" xfId="1" applyFont="1" applyFill="1" applyBorder="1" applyAlignment="1">
      <alignment vertical="center"/>
    </xf>
    <xf numFmtId="0" fontId="3" fillId="11" borderId="1" xfId="1" applyFont="1" applyFill="1" applyBorder="1" applyAlignment="1">
      <alignment horizontal="center" vertical="center"/>
    </xf>
    <xf numFmtId="167" fontId="25" fillId="15" borderId="1" xfId="3" applyNumberFormat="1" applyFont="1" applyFill="1" applyBorder="1" applyAlignment="1" applyProtection="1">
      <alignment vertical="center"/>
      <protection locked="0"/>
    </xf>
    <xf numFmtId="167" fontId="25" fillId="0" borderId="0" xfId="3" applyNumberFormat="1" applyFont="1" applyFill="1" applyBorder="1" applyProtection="1">
      <protection locked="0"/>
    </xf>
    <xf numFmtId="0" fontId="25" fillId="0" borderId="0" xfId="1" applyFont="1"/>
    <xf numFmtId="0" fontId="3" fillId="0" borderId="1" xfId="1" quotePrefix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67" fontId="1" fillId="16" borderId="0" xfId="3" applyNumberFormat="1" applyFont="1" applyFill="1" applyBorder="1" applyAlignment="1" applyProtection="1">
      <alignment vertical="center"/>
      <protection locked="0"/>
    </xf>
    <xf numFmtId="17" fontId="25" fillId="16" borderId="0" xfId="1" applyNumberFormat="1" applyFont="1" applyFill="1" applyAlignment="1">
      <alignment horizontal="center"/>
    </xf>
    <xf numFmtId="2" fontId="25" fillId="16" borderId="0" xfId="1" applyNumberFormat="1" applyFont="1" applyFill="1" applyAlignment="1">
      <alignment horizontal="center"/>
    </xf>
    <xf numFmtId="0" fontId="2" fillId="4" borderId="1" xfId="1" quotePrefix="1" applyFont="1" applyFill="1" applyBorder="1" applyAlignment="1">
      <alignment horizontal="right" vertical="center"/>
    </xf>
    <xf numFmtId="0" fontId="2" fillId="16" borderId="1" xfId="1" quotePrefix="1" applyFont="1" applyFill="1" applyBorder="1" applyAlignment="1">
      <alignment horizontal="right" vertical="center"/>
    </xf>
    <xf numFmtId="0" fontId="2" fillId="16" borderId="1" xfId="1" applyFont="1" applyFill="1" applyBorder="1" applyAlignment="1">
      <alignment vertical="center"/>
    </xf>
    <xf numFmtId="0" fontId="2" fillId="16" borderId="1" xfId="1" applyFont="1" applyFill="1" applyBorder="1" applyAlignment="1">
      <alignment horizontal="center" vertical="center"/>
    </xf>
    <xf numFmtId="167" fontId="34" fillId="16" borderId="1" xfId="9" applyNumberFormat="1" applyFont="1" applyFill="1" applyBorder="1" applyAlignment="1">
      <alignment vertical="center"/>
    </xf>
    <xf numFmtId="0" fontId="1" fillId="16" borderId="0" xfId="1" applyFill="1"/>
    <xf numFmtId="10" fontId="1" fillId="16" borderId="1" xfId="5" applyNumberFormat="1" applyFont="1" applyFill="1" applyBorder="1" applyAlignment="1">
      <alignment horizontal="center" vertical="center"/>
    </xf>
    <xf numFmtId="17" fontId="25" fillId="16" borderId="1" xfId="1" applyNumberFormat="1" applyFont="1" applyFill="1" applyBorder="1" applyAlignment="1">
      <alignment horizontal="center" vertical="center"/>
    </xf>
    <xf numFmtId="167" fontId="1" fillId="0" borderId="0" xfId="1" applyNumberFormat="1" applyAlignment="1" applyProtection="1">
      <alignment horizontal="center"/>
      <protection locked="0"/>
    </xf>
    <xf numFmtId="43" fontId="1" fillId="11" borderId="1" xfId="1" applyNumberFormat="1" applyFill="1" applyBorder="1" applyAlignment="1" applyProtection="1">
      <alignment horizontal="center" vertical="center"/>
      <protection locked="0"/>
    </xf>
    <xf numFmtId="169" fontId="29" fillId="17" borderId="1" xfId="10" applyNumberFormat="1" applyFont="1" applyFill="1" applyBorder="1"/>
    <xf numFmtId="167" fontId="1" fillId="17" borderId="1" xfId="1" applyNumberFormat="1" applyFill="1" applyBorder="1" applyAlignment="1" applyProtection="1">
      <alignment vertical="center"/>
      <protection locked="0"/>
    </xf>
    <xf numFmtId="171" fontId="29" fillId="0" borderId="1" xfId="10" applyNumberFormat="1" applyFont="1" applyBorder="1"/>
    <xf numFmtId="10" fontId="1" fillId="16" borderId="0" xfId="1" applyNumberFormat="1" applyFill="1"/>
    <xf numFmtId="172" fontId="1" fillId="0" borderId="0" xfId="1" applyNumberFormat="1"/>
    <xf numFmtId="0" fontId="37" fillId="16" borderId="1" xfId="0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7" fillId="0" borderId="0" xfId="1" applyFont="1"/>
    <xf numFmtId="0" fontId="28" fillId="0" borderId="0" xfId="1" applyFont="1" applyAlignment="1" applyProtection="1">
      <alignment horizontal="left"/>
      <protection locked="0"/>
    </xf>
    <xf numFmtId="0" fontId="1" fillId="0" borderId="0" xfId="1"/>
    <xf numFmtId="0" fontId="25" fillId="0" borderId="48" xfId="1" applyFont="1" applyBorder="1" applyAlignment="1" applyProtection="1">
      <alignment horizontal="center"/>
      <protection locked="0"/>
    </xf>
    <xf numFmtId="0" fontId="0" fillId="9" borderId="38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2" xfId="1" applyFont="1" applyFill="1" applyBorder="1" applyAlignment="1">
      <alignment horizontal="left" vertical="center"/>
    </xf>
    <xf numFmtId="0" fontId="10" fillId="7" borderId="29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33" fillId="0" borderId="16" xfId="1" applyFont="1" applyBorder="1" applyAlignment="1">
      <alignment horizontal="center" vertical="center"/>
    </xf>
    <xf numFmtId="0" fontId="33" fillId="0" borderId="17" xfId="1" applyFont="1" applyBorder="1" applyAlignment="1">
      <alignment horizontal="center" vertical="center"/>
    </xf>
    <xf numFmtId="0" fontId="33" fillId="0" borderId="19" xfId="1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8" fillId="7" borderId="44" xfId="1" applyFont="1" applyFill="1" applyBorder="1" applyAlignment="1">
      <alignment horizontal="left" vertical="center"/>
    </xf>
    <xf numFmtId="0" fontId="8" fillId="7" borderId="45" xfId="1" applyFont="1" applyFill="1" applyBorder="1" applyAlignment="1">
      <alignment horizontal="left" vertical="center"/>
    </xf>
    <xf numFmtId="0" fontId="8" fillId="7" borderId="46" xfId="1" applyFont="1" applyFill="1" applyBorder="1" applyAlignment="1">
      <alignment horizontal="left" vertical="center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4" fillId="7" borderId="18" xfId="1" applyFont="1" applyFill="1" applyBorder="1" applyAlignment="1">
      <alignment horizontal="center" vertical="center" textRotation="90"/>
    </xf>
    <xf numFmtId="0" fontId="14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9" fillId="0" borderId="47" xfId="1" applyFont="1" applyBorder="1" applyAlignment="1">
      <alignment horizontal="justify" vertical="top" wrapText="1"/>
    </xf>
    <xf numFmtId="0" fontId="9" fillId="0" borderId="31" xfId="1" applyFont="1" applyBorder="1" applyAlignment="1">
      <alignment horizontal="justify" vertical="top" wrapText="1"/>
    </xf>
    <xf numFmtId="0" fontId="9" fillId="0" borderId="43" xfId="1" applyFont="1" applyBorder="1" applyAlignment="1">
      <alignment horizontal="justify" vertical="top" wrapText="1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0" fontId="10" fillId="7" borderId="15" xfId="1" applyFont="1" applyFill="1" applyBorder="1" applyAlignment="1">
      <alignment horizontal="left" vertical="center"/>
    </xf>
    <xf numFmtId="2" fontId="10" fillId="7" borderId="32" xfId="1" applyNumberFormat="1" applyFont="1" applyFill="1" applyBorder="1" applyAlignment="1">
      <alignment horizontal="left" vertical="center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10" fillId="7" borderId="27" xfId="1" applyFont="1" applyFill="1" applyBorder="1" applyAlignment="1">
      <alignment horizontal="center" vertical="center" wrapText="1"/>
    </xf>
    <xf numFmtId="1" fontId="10" fillId="7" borderId="25" xfId="1" applyNumberFormat="1" applyFont="1" applyFill="1" applyBorder="1" applyAlignment="1">
      <alignment horizontal="center" vertical="center"/>
    </xf>
    <xf numFmtId="1" fontId="10" fillId="7" borderId="26" xfId="1" applyNumberFormat="1" applyFont="1" applyFill="1" applyBorder="1" applyAlignment="1">
      <alignment horizontal="center" vertical="center"/>
    </xf>
    <xf numFmtId="1" fontId="10" fillId="7" borderId="27" xfId="1" applyNumberFormat="1" applyFont="1" applyFill="1" applyBorder="1" applyAlignment="1">
      <alignment horizontal="center" vertical="center"/>
    </xf>
    <xf numFmtId="0" fontId="14" fillId="7" borderId="21" xfId="1" applyFont="1" applyFill="1" applyBorder="1" applyAlignment="1">
      <alignment horizontal="center" vertical="center" textRotation="90"/>
    </xf>
    <xf numFmtId="0" fontId="9" fillId="7" borderId="30" xfId="1" applyFont="1" applyFill="1" applyBorder="1" applyAlignment="1">
      <alignment horizontal="justify" vertical="top" wrapText="1"/>
    </xf>
    <xf numFmtId="0" fontId="9" fillId="7" borderId="43" xfId="1" applyFont="1" applyFill="1" applyBorder="1" applyAlignment="1">
      <alignment horizontal="justify" vertical="top" wrapText="1"/>
    </xf>
    <xf numFmtId="0" fontId="0" fillId="0" borderId="43" xfId="0" applyBorder="1" applyAlignment="1">
      <alignment horizontal="justify" vertical="top"/>
    </xf>
    <xf numFmtId="0" fontId="15" fillId="0" borderId="4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0" xfId="1" applyFont="1" applyBorder="1" applyAlignment="1">
      <alignment horizontal="center" vertical="center"/>
    </xf>
  </cellXfs>
  <cellStyles count="11">
    <cellStyle name="Millares" xfId="9" builtinId="3"/>
    <cellStyle name="Millares 2" xfId="4" xr:uid="{00000000-0005-0000-0000-000001000000}"/>
    <cellStyle name="Millares 3" xfId="10" xr:uid="{00000000-0005-0000-0000-000002000000}"/>
    <cellStyle name="Millares_Tablero de Indicadores" xfId="3" xr:uid="{00000000-0005-0000-0000-000003000000}"/>
    <cellStyle name="Normal" xfId="0" builtinId="0"/>
    <cellStyle name="Normal 2" xfId="1" xr:uid="{00000000-0005-0000-0000-000005000000}"/>
    <cellStyle name="Normal 7" xfId="6" xr:uid="{00000000-0005-0000-0000-000006000000}"/>
    <cellStyle name="Normal 8" xfId="8" xr:uid="{00000000-0005-0000-0000-000007000000}"/>
    <cellStyle name="Normal 9" xfId="7" xr:uid="{00000000-0005-0000-0000-000008000000}"/>
    <cellStyle name="Porcentaje" xfId="2" builtinId="5"/>
    <cellStyle name="Porcentaje 2" xfId="5" xr:uid="{00000000-0005-0000-0000-00000A000000}"/>
  </cellStyles>
  <dxfs count="27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'01'!$C$18:$N$18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F-4D0E-9252-300D57ABC908}"/>
            </c:ext>
          </c:extLst>
        </c:ser>
        <c:ser>
          <c:idx val="1"/>
          <c:order val="1"/>
          <c:tx>
            <c:strRef>
              <c:f>'01'!$A$19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'01'!$C$19:$N$19</c:f>
              <c:numCache>
                <c:formatCode>0.0%</c:formatCode>
                <c:ptCount val="12"/>
                <c:pt idx="0">
                  <c:v>0.78892228650653407</c:v>
                </c:pt>
                <c:pt idx="1">
                  <c:v>0.73522244397600711</c:v>
                </c:pt>
                <c:pt idx="2">
                  <c:v>0.79736587226993283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F-4D0E-9252-300D57ABC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474752"/>
        <c:axId val="156484736"/>
      </c:lineChart>
      <c:catAx>
        <c:axId val="156474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156484736"/>
        <c:crosses val="autoZero"/>
        <c:auto val="1"/>
        <c:lblAlgn val="ctr"/>
        <c:lblOffset val="100"/>
        <c:noMultiLvlLbl val="0"/>
      </c:catAx>
      <c:valAx>
        <c:axId val="1564847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564747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'10'!$C$18:$N$18</c:f>
              <c:numCache>
                <c:formatCode>0.0%</c:formatCode>
                <c:ptCount val="12"/>
                <c:pt idx="0">
                  <c:v>0.29899999999999999</c:v>
                </c:pt>
                <c:pt idx="1">
                  <c:v>0.29899999999999999</c:v>
                </c:pt>
                <c:pt idx="2">
                  <c:v>0.29899999999999999</c:v>
                </c:pt>
                <c:pt idx="3">
                  <c:v>0.29899999999999999</c:v>
                </c:pt>
                <c:pt idx="4">
                  <c:v>0.29899999999999999</c:v>
                </c:pt>
                <c:pt idx="5">
                  <c:v>0.29899999999999999</c:v>
                </c:pt>
                <c:pt idx="6">
                  <c:v>0.29899999999999999</c:v>
                </c:pt>
                <c:pt idx="7">
                  <c:v>0.29899999999999999</c:v>
                </c:pt>
                <c:pt idx="8">
                  <c:v>0.29899999999999999</c:v>
                </c:pt>
                <c:pt idx="9">
                  <c:v>0.29899999999999999</c:v>
                </c:pt>
                <c:pt idx="10">
                  <c:v>0.29899999999999999</c:v>
                </c:pt>
                <c:pt idx="11">
                  <c:v>0.29899999999999999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6-42E7-AD62-7A1D0859AFB4}"/>
            </c:ext>
          </c:extLst>
        </c:ser>
        <c:ser>
          <c:idx val="1"/>
          <c:order val="1"/>
          <c:tx>
            <c:strRef>
              <c:f>'10'!$A$19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'10'!$C$19:$N$19</c:f>
              <c:numCache>
                <c:formatCode>0.0%</c:formatCode>
                <c:ptCount val="12"/>
                <c:pt idx="0">
                  <c:v>0.2166530768861816</c:v>
                </c:pt>
                <c:pt idx="1">
                  <c:v>-0.2217813170983611</c:v>
                </c:pt>
                <c:pt idx="2">
                  <c:v>0.31005884260760785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6-42E7-AD62-7A1D0859A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716096"/>
        <c:axId val="307717632"/>
      </c:lineChart>
      <c:catAx>
        <c:axId val="307716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7717632"/>
        <c:crosses val="autoZero"/>
        <c:auto val="1"/>
        <c:lblAlgn val="ctr"/>
        <c:lblOffset val="100"/>
        <c:noMultiLvlLbl val="0"/>
      </c:catAx>
      <c:valAx>
        <c:axId val="3077176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77160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'11'!$C$18:$N$18</c:f>
              <c:numCache>
                <c:formatCode>0%</c:formatCode>
                <c:ptCount val="12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C-4D47-8EE3-B3ED0E0060C0}"/>
            </c:ext>
          </c:extLst>
        </c:ser>
        <c:ser>
          <c:idx val="1"/>
          <c:order val="1"/>
          <c:tx>
            <c:strRef>
              <c:f>'11'!$A$19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C-4D47-8EE3-B3ED0E006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128768"/>
        <c:axId val="306971392"/>
      </c:lineChart>
      <c:catAx>
        <c:axId val="30812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6971392"/>
        <c:crosses val="autoZero"/>
        <c:auto val="1"/>
        <c:lblAlgn val="ctr"/>
        <c:lblOffset val="100"/>
        <c:noMultiLvlLbl val="0"/>
      </c:catAx>
      <c:valAx>
        <c:axId val="306971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81287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D-44A3-B42A-68628C03CA31}"/>
            </c:ext>
          </c:extLst>
        </c:ser>
        <c:ser>
          <c:idx val="1"/>
          <c:order val="1"/>
          <c:tx>
            <c:strRef>
              <c:f>'12'!$A$19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D-44A3-B42A-68628C03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225728"/>
        <c:axId val="309231616"/>
      </c:lineChart>
      <c:catAx>
        <c:axId val="30922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9231616"/>
        <c:crosses val="autoZero"/>
        <c:auto val="1"/>
        <c:lblAlgn val="ctr"/>
        <c:lblOffset val="100"/>
        <c:noMultiLvlLbl val="0"/>
      </c:catAx>
      <c:valAx>
        <c:axId val="3092316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92257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'13'!$C$18:$N$18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4-4C54-898D-2E6F2147058E}"/>
            </c:ext>
          </c:extLst>
        </c:ser>
        <c:ser>
          <c:idx val="1"/>
          <c:order val="1"/>
          <c:tx>
            <c:strRef>
              <c:f>'13'!$A$19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'13'!$C$19:$N$19</c:f>
              <c:numCache>
                <c:formatCode>0.0%</c:formatCode>
                <c:ptCount val="12"/>
                <c:pt idx="0">
                  <c:v>9.3414292386735165E-4</c:v>
                </c:pt>
                <c:pt idx="1">
                  <c:v>5.1401869158878505E-3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4-4C54-898D-2E6F2147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323264"/>
        <c:axId val="309324800"/>
      </c:lineChart>
      <c:catAx>
        <c:axId val="30932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9324800"/>
        <c:crosses val="autoZero"/>
        <c:auto val="1"/>
        <c:lblAlgn val="ctr"/>
        <c:lblOffset val="100"/>
        <c:noMultiLvlLbl val="0"/>
      </c:catAx>
      <c:valAx>
        <c:axId val="3093248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93232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1-4635-A35A-AD86FB910F88}"/>
            </c:ext>
          </c:extLst>
        </c:ser>
        <c:ser>
          <c:idx val="1"/>
          <c:order val="1"/>
          <c:tx>
            <c:strRef>
              <c:f>'14'!$A$19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1-4635-A35A-AD86FB91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474048"/>
        <c:axId val="309475584"/>
      </c:lineChart>
      <c:catAx>
        <c:axId val="30947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9475584"/>
        <c:crosses val="autoZero"/>
        <c:auto val="1"/>
        <c:lblAlgn val="ctr"/>
        <c:lblOffset val="100"/>
        <c:noMultiLvlLbl val="0"/>
      </c:catAx>
      <c:valAx>
        <c:axId val="3094755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94740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55" l="0.70000000000000062" r="0.70000000000000062" t="0.75000000000000955" header="0.30000000000000032" footer="0.30000000000000032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66"/>
      <c:hPercent val="57"/>
      <c:rotY val="39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56255841259646E-2"/>
          <c:y val="1.049871457388701E-2"/>
          <c:w val="0.91718819975904575"/>
          <c:h val="0.85826991641526362"/>
        </c:manualLayout>
      </c:layout>
      <c:bar3DChart>
        <c:barDir val="col"/>
        <c:grouping val="standard"/>
        <c:varyColors val="0"/>
        <c:ser>
          <c:idx val="0"/>
          <c:order val="0"/>
          <c:tx>
            <c:v>Acueducto</c:v>
          </c:tx>
          <c:invertIfNegative val="0"/>
          <c:dLbls>
            <c:dLbl>
              <c:idx val="0"/>
              <c:layout>
                <c:manualLayout>
                  <c:x val="3.1626562159270811E-3"/>
                  <c:y val="-0.10362318148700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05-464D-9051-6FB1EE3A0666}"/>
                </c:ext>
              </c:extLst>
            </c:dLbl>
            <c:dLbl>
              <c:idx val="1"/>
              <c:layout>
                <c:manualLayout>
                  <c:x val="7.789349088002405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05-464D-9051-6FB1EE3A0666}"/>
                </c:ext>
              </c:extLst>
            </c:dLbl>
            <c:dLbl>
              <c:idx val="2"/>
              <c:layout>
                <c:manualLayout>
                  <c:x val="9.291039575889574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5-464D-9051-6FB1EE3A0666}"/>
                </c:ext>
              </c:extLst>
            </c:dLbl>
            <c:dLbl>
              <c:idx val="3"/>
              <c:layout>
                <c:manualLayout>
                  <c:x val="7.6677276795890596E-3"/>
                  <c:y val="-0.10362318148700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5-464D-9051-6FB1EE3A0666}"/>
                </c:ext>
              </c:extLst>
            </c:dLbl>
            <c:dLbl>
              <c:idx val="4"/>
              <c:layout>
                <c:manualLayout>
                  <c:x val="9.1694181674763526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5-464D-9051-6FB1EE3A0666}"/>
                </c:ext>
              </c:extLst>
            </c:dLbl>
            <c:dLbl>
              <c:idx val="5"/>
              <c:layout>
                <c:manualLayout>
                  <c:x val="1.3796111039551327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5-464D-9051-6FB1EE3A0666}"/>
                </c:ext>
              </c:extLst>
            </c:dLbl>
            <c:dLbl>
              <c:idx val="6"/>
              <c:layout>
                <c:manualLayout>
                  <c:x val="1.529796556943340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05-464D-9051-6FB1EE3A0666}"/>
                </c:ext>
              </c:extLst>
            </c:dLbl>
            <c:dLbl>
              <c:idx val="7"/>
              <c:layout>
                <c:manualLayout>
                  <c:x val="1.6799656057320637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05-464D-9051-6FB1EE3A0666}"/>
                </c:ext>
              </c:extLst>
            </c:dLbl>
            <c:dLbl>
              <c:idx val="8"/>
              <c:layout>
                <c:manualLayout>
                  <c:x val="1.8301346545207983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05-464D-9051-6FB1EE3A0666}"/>
                </c:ext>
              </c:extLst>
            </c:dLbl>
            <c:dLbl>
              <c:idx val="9"/>
              <c:layout>
                <c:manualLayout>
                  <c:x val="1.9802872991101148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05-464D-9051-6FB1EE3A0666}"/>
                </c:ext>
              </c:extLst>
            </c:dLbl>
            <c:dLbl>
              <c:idx val="10"/>
              <c:layout>
                <c:manualLayout>
                  <c:x val="2.1304727520982676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05-464D-9051-6FB1EE3A0666}"/>
                </c:ext>
              </c:extLst>
            </c:dLbl>
            <c:dLbl>
              <c:idx val="11"/>
              <c:layout>
                <c:manualLayout>
                  <c:x val="2.2806418008870916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05-464D-9051-6FB1EE3A0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TARQUI2020!$D$52:$J$52</c:f>
              <c:numCache>
                <c:formatCode>mmm\-yy</c:formatCode>
                <c:ptCount val="7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</c:numCache>
            </c:numRef>
          </c:cat>
          <c:val>
            <c:numRef>
              <c:f>TARQUI2020!$D$53:$J$53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05-464D-9051-6FB1EE3A0666}"/>
            </c:ext>
          </c:extLst>
        </c:ser>
        <c:ser>
          <c:idx val="1"/>
          <c:order val="1"/>
          <c:tx>
            <c:v>Alcanatrillado</c:v>
          </c:tx>
          <c:invertIfNegative val="0"/>
          <c:dLbls>
            <c:dLbl>
              <c:idx val="0"/>
              <c:layout>
                <c:manualLayout>
                  <c:x val="6.5585229278869485E-3"/>
                  <c:y val="-0.13645575241341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05-464D-9051-6FB1EE3A0666}"/>
                </c:ext>
              </c:extLst>
            </c:dLbl>
            <c:dLbl>
              <c:idx val="1"/>
              <c:layout>
                <c:manualLayout>
                  <c:x val="8.0602134157742467E-3"/>
                  <c:y val="-0.13908043105689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05-464D-9051-6FB1EE3A0666}"/>
                </c:ext>
              </c:extLst>
            </c:dLbl>
            <c:dLbl>
              <c:idx val="2"/>
              <c:layout>
                <c:manualLayout>
                  <c:x val="3.3120631772811113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05-464D-9051-6FB1EE3A0666}"/>
                </c:ext>
              </c:extLst>
            </c:dLbl>
            <c:dLbl>
              <c:idx val="3"/>
              <c:layout>
                <c:manualLayout>
                  <c:x val="1.1063758433543685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05-464D-9051-6FB1EE3A0666}"/>
                </c:ext>
              </c:extLst>
            </c:dLbl>
            <c:dLbl>
              <c:idx val="4"/>
              <c:layout>
                <c:manualLayout>
                  <c:x val="9.4404465372440252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05-464D-9051-6FB1EE3A0666}"/>
                </c:ext>
              </c:extLst>
            </c:dLbl>
            <c:dLbl>
              <c:idx val="5"/>
              <c:layout>
                <c:manualLayout>
                  <c:x val="1.0942137025130683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05-464D-9051-6FB1EE3A0666}"/>
                </c:ext>
              </c:extLst>
            </c:dLbl>
            <c:dLbl>
              <c:idx val="6"/>
              <c:layout>
                <c:manualLayout>
                  <c:x val="1.2443827513018488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05-464D-9051-6FB1EE3A0666}"/>
                </c:ext>
              </c:extLst>
            </c:dLbl>
            <c:dLbl>
              <c:idx val="7"/>
              <c:layout>
                <c:manualLayout>
                  <c:x val="1.3945518000905771E-2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05-464D-9051-6FB1EE3A0666}"/>
                </c:ext>
              </c:extLst>
            </c:dLbl>
            <c:dLbl>
              <c:idx val="8"/>
              <c:layout>
                <c:manualLayout>
                  <c:x val="1.2322206104605014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05-464D-9051-6FB1EE3A0666}"/>
                </c:ext>
              </c:extLst>
            </c:dLbl>
            <c:dLbl>
              <c:idx val="9"/>
              <c:layout>
                <c:manualLayout>
                  <c:x val="2.0073901360867612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05-464D-9051-6FB1EE3A0666}"/>
                </c:ext>
              </c:extLst>
            </c:dLbl>
            <c:dLbl>
              <c:idx val="10"/>
              <c:layout>
                <c:manualLayout>
                  <c:x val="2.1575591848754946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05-464D-9051-6FB1EE3A0666}"/>
                </c:ext>
              </c:extLst>
            </c:dLbl>
            <c:dLbl>
              <c:idx val="11"/>
              <c:layout>
                <c:manualLayout>
                  <c:x val="1.6827277568267577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05-464D-9051-6FB1EE3A0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TARQUI2020!$D$52:$J$52</c:f>
              <c:numCache>
                <c:formatCode>mmm\-yy</c:formatCode>
                <c:ptCount val="7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</c:numCache>
            </c:numRef>
          </c:cat>
          <c:val>
            <c:numRef>
              <c:f>TARQUI2020!$D$54:$J$54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305-464D-9051-6FB1EE3A0666}"/>
            </c:ext>
          </c:extLst>
        </c:ser>
        <c:ser>
          <c:idx val="2"/>
          <c:order val="2"/>
          <c:tx>
            <c:v>Aseo</c:v>
          </c:tx>
          <c:invertIfNegative val="0"/>
          <c:dLbls>
            <c:dLbl>
              <c:idx val="0"/>
              <c:layout>
                <c:manualLayout>
                  <c:x val="8.3295512976541228E-3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05-464D-9051-6FB1EE3A0666}"/>
                </c:ext>
              </c:extLst>
            </c:dLbl>
            <c:dLbl>
              <c:idx val="1"/>
              <c:layout>
                <c:manualLayout>
                  <c:x val="8.2687405934475048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05-464D-9051-6FB1EE3A0666}"/>
                </c:ext>
              </c:extLst>
            </c:dLbl>
            <c:dLbl>
              <c:idx val="2"/>
              <c:layout>
                <c:manualLayout>
                  <c:x val="1.13329322734286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05-464D-9051-6FB1EE3A0666}"/>
                </c:ext>
              </c:extLst>
            </c:dLbl>
            <c:dLbl>
              <c:idx val="3"/>
              <c:layout>
                <c:manualLayout>
                  <c:x val="8.1471191850344959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05-464D-9051-6FB1EE3A0666}"/>
                </c:ext>
              </c:extLst>
            </c:dLbl>
            <c:dLbl>
              <c:idx val="4"/>
              <c:layout>
                <c:manualLayout>
                  <c:x val="1.7461315633390855E-2"/>
                  <c:y val="-0.13376768268030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05-464D-9051-6FB1EE3A0666}"/>
                </c:ext>
              </c:extLst>
            </c:dLbl>
            <c:dLbl>
              <c:idx val="5"/>
              <c:layout>
                <c:manualLayout>
                  <c:x val="1.2713001352902861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05-464D-9051-6FB1EE3A0666}"/>
                </c:ext>
              </c:extLst>
            </c:dLbl>
            <c:dLbl>
              <c:idx val="6"/>
              <c:layout>
                <c:manualLayout>
                  <c:x val="1.4214691840790198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05-464D-9051-6FB1EE3A0666}"/>
                </c:ext>
              </c:extLst>
            </c:dLbl>
            <c:dLbl>
              <c:idx val="7"/>
              <c:layout>
                <c:manualLayout>
                  <c:x val="1.5716382328677544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05-464D-9051-6FB1EE3A0666}"/>
                </c:ext>
              </c:extLst>
            </c:dLbl>
            <c:dLbl>
              <c:idx val="8"/>
              <c:layout>
                <c:manualLayout>
                  <c:x val="1.721807281656489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05-464D-9051-6FB1EE3A0666}"/>
                </c:ext>
              </c:extLst>
            </c:dLbl>
            <c:dLbl>
              <c:idx val="9"/>
              <c:layout>
                <c:manualLayout>
                  <c:x val="1.8719763304452127E-2"/>
                  <c:y val="-0.1153949321759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05-464D-9051-6FB1EE3A0666}"/>
                </c:ext>
              </c:extLst>
            </c:dLbl>
            <c:dLbl>
              <c:idx val="10"/>
              <c:layout>
                <c:manualLayout>
                  <c:x val="2.3346456176527138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05-464D-9051-6FB1EE3A0666}"/>
                </c:ext>
              </c:extLst>
            </c:dLbl>
            <c:dLbl>
              <c:idx val="11"/>
              <c:layout>
                <c:manualLayout>
                  <c:x val="2.4848146664415295E-2"/>
                  <c:y val="-0.1206442894629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05-464D-9051-6FB1EE3A0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TARQUI2020!$D$52:$J$52</c:f>
              <c:numCache>
                <c:formatCode>mmm\-yy</c:formatCode>
                <c:ptCount val="7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</c:numCache>
            </c:numRef>
          </c:cat>
          <c:val>
            <c:numRef>
              <c:f>TARQUI2020!$D$55:$J$55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305-464D-9051-6FB1EE3A06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10019200"/>
        <c:axId val="310020736"/>
        <c:axId val="309477824"/>
      </c:bar3DChart>
      <c:dateAx>
        <c:axId val="3100192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10020736"/>
        <c:crosses val="autoZero"/>
        <c:auto val="1"/>
        <c:lblOffset val="100"/>
        <c:baseTimeUnit val="months"/>
        <c:majorUnit val="1"/>
        <c:minorUnit val="1"/>
      </c:dateAx>
      <c:valAx>
        <c:axId val="3100207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10019200"/>
        <c:crosses val="autoZero"/>
        <c:crossBetween val="between"/>
      </c:valAx>
      <c:serAx>
        <c:axId val="309477824"/>
        <c:scaling>
          <c:orientation val="minMax"/>
        </c:scaling>
        <c:delete val="1"/>
        <c:axPos val="b"/>
        <c:majorTickMark val="out"/>
        <c:minorTickMark val="none"/>
        <c:tickLblPos val="none"/>
        <c:crossAx val="31002073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343742218847843E-2"/>
          <c:y val="0.90861618798955557"/>
          <c:w val="0.45625027042692723"/>
          <c:h val="7.3107049608355096E-2"/>
        </c:manualLayout>
      </c:layout>
      <c:overlay val="0"/>
      <c:txPr>
        <a:bodyPr/>
        <a:lstStyle/>
        <a:p>
          <a:pPr>
            <a:defRPr lang="es-ES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</a:t>
            </a:r>
            <a:r>
              <a:rPr lang="es-CO" sz="1200" u="sng" baseline="0"/>
              <a:t> DE FACTURACION Y RECAUDO DEL CORRIENTE</a:t>
            </a:r>
            <a:endParaRPr lang="es-CO" sz="1200" u="sng"/>
          </a:p>
          <a:p>
            <a:pPr>
              <a:defRPr lang="es-ES" u="sng"/>
            </a:pPr>
            <a:r>
              <a:rPr lang="es-CO" sz="1200" u="sng"/>
              <a:t>TARQUI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TARQUI2020!$B$43</c:f>
              <c:strCache>
                <c:ptCount val="1"/>
                <c:pt idx="0">
                  <c:v>Total Facturado Corriente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TARQUI2020!$D$42:$O$42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TARQUI2020!$D$43:$O$43</c:f>
              <c:numCache>
                <c:formatCode>_-* #,##0_-;\-* #,##0_-;_-* "-"??_-;_-@_-</c:formatCode>
                <c:ptCount val="12"/>
                <c:pt idx="0">
                  <c:v>55672301</c:v>
                </c:pt>
                <c:pt idx="1">
                  <c:v>69083125</c:v>
                </c:pt>
                <c:pt idx="2">
                  <c:v>53049060</c:v>
                </c:pt>
                <c:pt idx="3">
                  <c:v>64121899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6-4953-94BC-A037BEE717D5}"/>
            </c:ext>
          </c:extLst>
        </c:ser>
        <c:ser>
          <c:idx val="1"/>
          <c:order val="1"/>
          <c:tx>
            <c:strRef>
              <c:f>TARQUI2020!$B$44</c:f>
              <c:strCache>
                <c:ptCount val="1"/>
                <c:pt idx="0">
                  <c:v>Total Recaudado Corriente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TARQUI2020!$D$42:$O$42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TARQUI2020!$D$44:$O$44</c:f>
              <c:numCache>
                <c:formatCode>_-* #,##0_-;\-* #,##0_-;_-* "-"??_-;_-@_-</c:formatCode>
                <c:ptCount val="12"/>
                <c:pt idx="0">
                  <c:v>43921119</c:v>
                </c:pt>
                <c:pt idx="1">
                  <c:v>50791464</c:v>
                </c:pt>
                <c:pt idx="2">
                  <c:v>42299510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6-4953-94BC-A037BEE71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6817280"/>
        <c:axId val="306827264"/>
        <c:axId val="0"/>
      </c:bar3DChart>
      <c:dateAx>
        <c:axId val="30681728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6827264"/>
        <c:crosses val="autoZero"/>
        <c:auto val="1"/>
        <c:lblOffset val="100"/>
        <c:baseTimeUnit val="months"/>
      </c:dateAx>
      <c:valAx>
        <c:axId val="306827264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681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331335328748167"/>
          <c:y val="0.48162721703818839"/>
          <c:w val="0.28695262864501492"/>
          <c:h val="0.21123226617857124"/>
        </c:manualLayout>
      </c:layout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9515098770548553"/>
          <c:y val="2.7777777777777981E-2"/>
        </c:manualLayout>
      </c:layout>
      <c:overlay val="0"/>
      <c:txPr>
        <a:bodyPr/>
        <a:lstStyle/>
        <a:p>
          <a:pPr>
            <a:defRPr lang="es-ES"/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934188470787394"/>
          <c:y val="0.30086127397768597"/>
          <c:w val="0.69348998480453106"/>
          <c:h val="0.5762343248760550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TARQUI2020!$B$57</c:f>
              <c:strCache>
                <c:ptCount val="1"/>
                <c:pt idx="0">
                  <c:v>Índice de Agua No Contabilizada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50800" dir="5400000" algn="ctr" rotWithShape="0">
                <a:schemeClr val="accent4">
                  <a:lumMod val="75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TARQUI2020!$C$4:$O$4</c:f>
              <c:strCache>
                <c:ptCount val="13"/>
                <c:pt idx="0">
                  <c:v>Unidad</c:v>
                </c:pt>
                <c:pt idx="1">
                  <c:v>ene-25</c:v>
                </c:pt>
                <c:pt idx="2">
                  <c:v>feb-25</c:v>
                </c:pt>
                <c:pt idx="3">
                  <c:v>mar-25</c:v>
                </c:pt>
                <c:pt idx="4">
                  <c:v>abr-25</c:v>
                </c:pt>
                <c:pt idx="5">
                  <c:v>may-25</c:v>
                </c:pt>
                <c:pt idx="6">
                  <c:v>jun-25</c:v>
                </c:pt>
                <c:pt idx="7">
                  <c:v>jul-25</c:v>
                </c:pt>
                <c:pt idx="8">
                  <c:v>ago-25</c:v>
                </c:pt>
                <c:pt idx="9">
                  <c:v>sep-25</c:v>
                </c:pt>
                <c:pt idx="10">
                  <c:v>oct-25</c:v>
                </c:pt>
                <c:pt idx="11">
                  <c:v>nov-25</c:v>
                </c:pt>
                <c:pt idx="12">
                  <c:v>dic-25</c:v>
                </c:pt>
              </c:strCache>
            </c:strRef>
          </c:cat>
          <c:val>
            <c:numRef>
              <c:f>TARQUI2020!$C$57:$O$57</c:f>
              <c:numCache>
                <c:formatCode>0.00%</c:formatCode>
                <c:ptCount val="13"/>
                <c:pt idx="0" formatCode="General">
                  <c:v>0</c:v>
                </c:pt>
                <c:pt idx="1">
                  <c:v>0.2167</c:v>
                </c:pt>
                <c:pt idx="2">
                  <c:v>-0.2218</c:v>
                </c:pt>
                <c:pt idx="3">
                  <c:v>0.31009999999999999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C-497D-B468-367B8C083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8561024"/>
        <c:axId val="308562560"/>
        <c:axId val="0"/>
      </c:bar3DChart>
      <c:catAx>
        <c:axId val="3085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s-ES" sz="700" baseline="0"/>
            </a:pPr>
            <a:endParaRPr lang="es-CO"/>
          </a:p>
        </c:txPr>
        <c:crossAx val="308562560"/>
        <c:crosses val="autoZero"/>
        <c:auto val="1"/>
        <c:lblAlgn val="ctr"/>
        <c:lblOffset val="100"/>
        <c:noMultiLvlLbl val="1"/>
      </c:catAx>
      <c:valAx>
        <c:axId val="308562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rgbClr val="FE6666"/>
            </a:solidFill>
          </a:ln>
        </c:spPr>
        <c:txPr>
          <a:bodyPr/>
          <a:lstStyle/>
          <a:p>
            <a:pPr>
              <a:defRPr lang="es-ES" sz="700" baseline="0"/>
            </a:pPr>
            <a:endParaRPr lang="es-CO"/>
          </a:p>
        </c:txPr>
        <c:crossAx val="308561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729388797385665"/>
          <c:y val="0.6918483531665709"/>
          <c:w val="0.24945752420261877"/>
          <c:h val="9.9048208883610628E-2"/>
        </c:manualLayout>
      </c:layout>
      <c:overlay val="0"/>
      <c:txPr>
        <a:bodyPr/>
        <a:lstStyle/>
        <a:p>
          <a:pPr>
            <a:defRPr lang="es-ES" sz="700" baseline="0"/>
          </a:pPr>
          <a:endParaRPr lang="es-CO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>
      <a:gradFill flip="none" rotWithShape="1">
        <a:gsLst>
          <a:gs pos="0">
            <a:schemeClr val="accent4">
              <a:lumMod val="40000"/>
              <a:lumOff val="60000"/>
            </a:schemeClr>
          </a:gs>
          <a:gs pos="50000">
            <a:srgbClr val="4F81BD">
              <a:tint val="44500"/>
              <a:satMod val="160000"/>
            </a:srgbClr>
          </a:gs>
          <a:gs pos="100000">
            <a:srgbClr val="4F81BD">
              <a:tint val="23500"/>
              <a:satMod val="160000"/>
            </a:srgbClr>
          </a:gs>
        </a:gsLst>
        <a:path path="circle">
          <a:fillToRect l="100000" t="100000"/>
        </a:path>
        <a:tileRect r="-100000" b="-100000"/>
      </a:gradFill>
    </a:ln>
    <a:scene3d>
      <a:camera prst="orthographicFront"/>
      <a:lightRig rig="threePt" dir="t"/>
    </a:scene3d>
    <a:sp3d>
      <a:bevelB w="165100" prst="coolSlant"/>
    </a:sp3d>
  </c:spPr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INDICADORE</a:t>
            </a:r>
            <a:r>
              <a:rPr lang="es-CO" sz="1200" u="sng" baseline="0"/>
              <a:t> DE FACTURACION Y RECAUDO DE LA DEUDA</a:t>
            </a:r>
            <a:endParaRPr lang="es-CO" sz="1200" u="sng"/>
          </a:p>
          <a:p>
            <a:pPr>
              <a:defRPr lang="es-ES" u="sng"/>
            </a:pPr>
            <a:r>
              <a:rPr lang="es-CO" sz="1200" u="sng"/>
              <a:t>TARQUI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TARQUI2020!$B$46</c:f>
              <c:strCache>
                <c:ptCount val="1"/>
                <c:pt idx="0">
                  <c:v>Total Facturado deuda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TARQUI2020!$D$45:$O$45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TARQUI2020!$D$46:$O$46</c:f>
              <c:numCache>
                <c:formatCode>_-* #,##0_-;\-* #,##0_-;_-* "-"??_-;_-@_-</c:formatCode>
                <c:ptCount val="12"/>
                <c:pt idx="0">
                  <c:v>20858635</c:v>
                </c:pt>
                <c:pt idx="1">
                  <c:v>16065286</c:v>
                </c:pt>
                <c:pt idx="2">
                  <c:v>21461845</c:v>
                </c:pt>
                <c:pt idx="3">
                  <c:v>10771755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7-49F0-AB4A-5CDBE7C7B5E1}"/>
            </c:ext>
          </c:extLst>
        </c:ser>
        <c:ser>
          <c:idx val="1"/>
          <c:order val="1"/>
          <c:tx>
            <c:strRef>
              <c:f>TARQUI2020!$B$47</c:f>
              <c:strCache>
                <c:ptCount val="1"/>
                <c:pt idx="0">
                  <c:v>Total Recaudado deuda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7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TARQUI2020!$D$45:$O$45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TARQUI2020!$D$47:$O$47</c:f>
              <c:numCache>
                <c:formatCode>_-* #,##0_-;\-* #,##0_-;_-* "-"??_-;_-@_-</c:formatCode>
                <c:ptCount val="12"/>
                <c:pt idx="0">
                  <c:v>15312281</c:v>
                </c:pt>
                <c:pt idx="1">
                  <c:v>12545302</c:v>
                </c:pt>
                <c:pt idx="2">
                  <c:v>17740490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7-49F0-AB4A-5CDBE7C7B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8606464"/>
        <c:axId val="308608000"/>
        <c:axId val="0"/>
      </c:bar3DChart>
      <c:dateAx>
        <c:axId val="3086064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8608000"/>
        <c:crosses val="autoZero"/>
        <c:auto val="1"/>
        <c:lblOffset val="100"/>
        <c:baseTimeUnit val="months"/>
      </c:dateAx>
      <c:valAx>
        <c:axId val="308608000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8606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834890562436291"/>
          <c:y val="0.48162715524405747"/>
          <c:w val="0.28695262864501492"/>
          <c:h val="0.16776697634899296"/>
        </c:manualLayout>
      </c:layout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66" l="0.70000000000000062" r="0.70000000000000062" t="0.750000000000011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'02'!$C$18:$N$18</c:f>
              <c:numCache>
                <c:formatCode>0.0%</c:formatCode>
                <c:ptCount val="12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0-47C6-AF62-1F0982B6810C}"/>
            </c:ext>
          </c:extLst>
        </c:ser>
        <c:ser>
          <c:idx val="1"/>
          <c:order val="1"/>
          <c:tx>
            <c:strRef>
              <c:f>'02'!$A$19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'02'!$C$19:$N$19</c:f>
              <c:numCache>
                <c:formatCode>0.0%</c:formatCode>
                <c:ptCount val="12"/>
                <c:pt idx="0">
                  <c:v>0.77397981908910662</c:v>
                </c:pt>
                <c:pt idx="1">
                  <c:v>0.74383967071329138</c:v>
                </c:pt>
                <c:pt idx="2">
                  <c:v>0.80578809236044036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0-47C6-AF62-1F0982B68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945600"/>
        <c:axId val="283955584"/>
      </c:lineChart>
      <c:catAx>
        <c:axId val="28394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3955584"/>
        <c:crosses val="autoZero"/>
        <c:auto val="1"/>
        <c:lblAlgn val="ctr"/>
        <c:lblOffset val="100"/>
        <c:noMultiLvlLbl val="0"/>
      </c:catAx>
      <c:valAx>
        <c:axId val="28395558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39456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'03'!$C$18:$N$18</c:f>
              <c:numCache>
                <c:formatCode>#,##0</c:formatCode>
                <c:ptCount val="12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2-4AD8-BFD1-68334AA18D4D}"/>
            </c:ext>
          </c:extLst>
        </c:ser>
        <c:ser>
          <c:idx val="1"/>
          <c:order val="1"/>
          <c:tx>
            <c:strRef>
              <c:f>'03'!$A$19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'03'!$C$19:$N$19</c:f>
              <c:numCache>
                <c:formatCode>#,##0</c:formatCode>
                <c:ptCount val="12"/>
                <c:pt idx="0">
                  <c:v>9.3210819506095142</c:v>
                </c:pt>
                <c:pt idx="1">
                  <c:v>10.490114474059027</c:v>
                </c:pt>
                <c:pt idx="2">
                  <c:v>7.3247952247953965</c:v>
                </c:pt>
                <c:pt idx="3">
                  <c:v>37.148649495175981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2-4AD8-BFD1-68334AA1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973504"/>
        <c:axId val="283975040"/>
      </c:lineChart>
      <c:catAx>
        <c:axId val="28397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83975040"/>
        <c:crosses val="autoZero"/>
        <c:auto val="1"/>
        <c:lblAlgn val="ctr"/>
        <c:lblOffset val="100"/>
        <c:noMultiLvlLbl val="0"/>
      </c:catAx>
      <c:valAx>
        <c:axId val="283975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8397350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7-4B2F-9C3D-1B8D577B6BD9}"/>
            </c:ext>
          </c:extLst>
        </c:ser>
        <c:ser>
          <c:idx val="1"/>
          <c:order val="1"/>
          <c:tx>
            <c:strRef>
              <c:f>'04'!$A$19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47-4B2F-9C3D-1B8D577B6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150016"/>
        <c:axId val="306168192"/>
      </c:lineChart>
      <c:catAx>
        <c:axId val="30615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6168192"/>
        <c:crosses val="autoZero"/>
        <c:auto val="1"/>
        <c:lblAlgn val="ctr"/>
        <c:lblOffset val="100"/>
        <c:noMultiLvlLbl val="0"/>
      </c:catAx>
      <c:valAx>
        <c:axId val="30616819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615001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D-4176-8D9D-1F0FBF80F287}"/>
            </c:ext>
          </c:extLst>
        </c:ser>
        <c:ser>
          <c:idx val="1"/>
          <c:order val="1"/>
          <c:tx>
            <c:strRef>
              <c:f>'05'!$A$19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D-4176-8D9D-1F0FBF80F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583424"/>
        <c:axId val="306584960"/>
      </c:lineChart>
      <c:catAx>
        <c:axId val="306583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6584960"/>
        <c:crosses val="autoZero"/>
        <c:auto val="1"/>
        <c:lblAlgn val="ctr"/>
        <c:lblOffset val="100"/>
        <c:noMultiLvlLbl val="0"/>
      </c:catAx>
      <c:valAx>
        <c:axId val="3065849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6583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'06'!$A$18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2-4023-B47E-B30CCA02A5EF}"/>
            </c:ext>
          </c:extLst>
        </c:ser>
        <c:ser>
          <c:idx val="1"/>
          <c:order val="1"/>
          <c:tx>
            <c:strRef>
              <c:f>'06'!$A$19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2-4023-B47E-B30CCA02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701632"/>
        <c:axId val="331711616"/>
      </c:lineChart>
      <c:catAx>
        <c:axId val="33170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31711616"/>
        <c:crosses val="autoZero"/>
        <c:auto val="1"/>
        <c:lblAlgn val="ctr"/>
        <c:lblOffset val="100"/>
        <c:noMultiLvlLbl val="0"/>
      </c:catAx>
      <c:valAx>
        <c:axId val="33171161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317016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7002626373357E-2"/>
          <c:y val="4.8535605180499965E-2"/>
          <c:w val="0.73457881090203481"/>
          <c:h val="0.7764223570414357"/>
        </c:manualLayout>
      </c:layout>
      <c:lineChart>
        <c:grouping val="standard"/>
        <c:varyColors val="0"/>
        <c:ser>
          <c:idx val="0"/>
          <c:order val="0"/>
          <c:tx>
            <c:strRef>
              <c:f>'07'!$A$18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2-41BE-BAAE-F9C9481478A3}"/>
            </c:ext>
          </c:extLst>
        </c:ser>
        <c:ser>
          <c:idx val="1"/>
          <c:order val="1"/>
          <c:tx>
            <c:strRef>
              <c:f>'07'!$A$19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2-41BE-BAAE-F9C948147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968832"/>
        <c:axId val="331718656"/>
      </c:lineChart>
      <c:catAx>
        <c:axId val="30696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31718656"/>
        <c:crosses val="autoZero"/>
        <c:auto val="1"/>
        <c:lblAlgn val="ctr"/>
        <c:lblOffset val="100"/>
        <c:noMultiLvlLbl val="0"/>
      </c:catAx>
      <c:valAx>
        <c:axId val="3317186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69688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'08'!$A$18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'08'!$C$18:$N$18</c:f>
              <c:numCache>
                <c:formatCode>0.0%</c:formatCode>
                <c:ptCount val="12"/>
                <c:pt idx="0">
                  <c:v>0.98</c:v>
                </c:pt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  <c:pt idx="5">
                  <c:v>0.98</c:v>
                </c:pt>
                <c:pt idx="6">
                  <c:v>0.98</c:v>
                </c:pt>
                <c:pt idx="7">
                  <c:v>0.98</c:v>
                </c:pt>
                <c:pt idx="8">
                  <c:v>0.98</c:v>
                </c:pt>
                <c:pt idx="9">
                  <c:v>0.98</c:v>
                </c:pt>
                <c:pt idx="10">
                  <c:v>0.98</c:v>
                </c:pt>
                <c:pt idx="11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E-4B59-ACBA-D63FE84F8ACE}"/>
            </c:ext>
          </c:extLst>
        </c:ser>
        <c:ser>
          <c:idx val="1"/>
          <c:order val="1"/>
          <c:tx>
            <c:strRef>
              <c:f>'08'!$A$19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'08'!$C$19:$N$19</c:f>
              <c:numCache>
                <c:formatCode>0.0%</c:formatCode>
                <c:ptCount val="12"/>
                <c:pt idx="0">
                  <c:v>0.90658570761326485</c:v>
                </c:pt>
                <c:pt idx="1">
                  <c:v>0.91028037383177574</c:v>
                </c:pt>
                <c:pt idx="2">
                  <c:v>0.91302325581395349</c:v>
                </c:pt>
                <c:pt idx="3">
                  <c:v>0.91469633750579504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E-4B59-ACBA-D63FE84F8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447296"/>
        <c:axId val="307448832"/>
      </c:lineChart>
      <c:catAx>
        <c:axId val="30744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7448832"/>
        <c:crosses val="autoZero"/>
        <c:auto val="1"/>
        <c:lblAlgn val="ctr"/>
        <c:lblOffset val="100"/>
        <c:noMultiLvlLbl val="0"/>
      </c:catAx>
      <c:valAx>
        <c:axId val="3074488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74472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'09'!$A$18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'09'!$C$18:$N$18</c:f>
              <c:numCache>
                <c:formatCode>0.0%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6-4EFB-8151-F255F0C57794}"/>
            </c:ext>
          </c:extLst>
        </c:ser>
        <c:ser>
          <c:idx val="1"/>
          <c:order val="1"/>
          <c:tx>
            <c:strRef>
              <c:f>'09'!$A$19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6-4EFB-8151-F255F0C5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34944"/>
        <c:axId val="307636480"/>
      </c:lineChart>
      <c:catAx>
        <c:axId val="307634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7636480"/>
        <c:crosses val="autoZero"/>
        <c:auto val="1"/>
        <c:lblAlgn val="ctr"/>
        <c:lblOffset val="100"/>
        <c:noMultiLvlLbl val="0"/>
      </c:catAx>
      <c:valAx>
        <c:axId val="30763648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76349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47625</xdr:rowOff>
    </xdr:from>
    <xdr:to>
      <xdr:col>2</xdr:col>
      <xdr:colOff>609600</xdr:colOff>
      <xdr:row>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115A13-0238-4B46-8223-61FF1D42F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47625"/>
          <a:ext cx="1000125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07F481-70C3-4EE4-83A1-DC6ACDB68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8DA453-A9FE-4FC2-BA16-4CC839244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950FDF-5FD0-4418-8655-F60D68AAD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0645FD-5145-4EBF-8261-88E664DA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D36E6F-4F3F-4DC3-A3CA-A57837DB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638834-78F2-43E4-91EB-30F1EE4E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71</xdr:row>
      <xdr:rowOff>114300</xdr:rowOff>
    </xdr:from>
    <xdr:to>
      <xdr:col>5</xdr:col>
      <xdr:colOff>276225</xdr:colOff>
      <xdr:row>95</xdr:row>
      <xdr:rowOff>38100</xdr:rowOff>
    </xdr:to>
    <xdr:graphicFrame macro="">
      <xdr:nvGraphicFramePr>
        <xdr:cNvPr id="2" name="Chart 2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46381</xdr:colOff>
      <xdr:row>98</xdr:row>
      <xdr:rowOff>86137</xdr:rowOff>
    </xdr:from>
    <xdr:to>
      <xdr:col>6</xdr:col>
      <xdr:colOff>733425</xdr:colOff>
      <xdr:row>121</xdr:row>
      <xdr:rowOff>57149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693252</xdr:colOff>
      <xdr:row>75</xdr:row>
      <xdr:rowOff>122581</xdr:rowOff>
    </xdr:from>
    <xdr:to>
      <xdr:col>15</xdr:col>
      <xdr:colOff>542924</xdr:colOff>
      <xdr:row>98</xdr:row>
      <xdr:rowOff>0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223630</xdr:colOff>
      <xdr:row>121</xdr:row>
      <xdr:rowOff>41412</xdr:rowOff>
    </xdr:from>
    <xdr:to>
      <xdr:col>7</xdr:col>
      <xdr:colOff>123825</xdr:colOff>
      <xdr:row>146</xdr:row>
      <xdr:rowOff>57150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B72E06-9257-48CE-913C-6085B2A51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08032D-858A-4CB1-9E29-9156E065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E3FB04-D2EA-46C9-9008-2601012FE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88544E-AF82-48E9-8F75-EB2F4F182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BE906C-956A-42B2-AF9B-19897D11D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748332-8ECF-4BED-9CCC-8467F00AE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4569CB-1489-4986-AA61-851063B9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915B23-1537-4323-8845-BC45CE63A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tabSelected="1" workbookViewId="0">
      <pane ySplit="7" topLeftCell="A8" activePane="bottomLeft" state="frozen"/>
      <selection activeCell="F1" sqref="F1"/>
      <selection pane="bottomLeft" activeCell="K8" sqref="K8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5" max="25" width="7.7109375" customWidth="1"/>
    <col min="26" max="26" width="8.28515625" hidden="1" customWidth="1"/>
    <col min="27" max="27" width="0" hidden="1" customWidth="1"/>
    <col min="29" max="30" width="11.42578125" customWidth="1"/>
  </cols>
  <sheetData>
    <row r="1" spans="1:24" ht="15" customHeight="1" thickTop="1" x14ac:dyDescent="0.25">
      <c r="A1" s="163"/>
      <c r="B1" s="164"/>
      <c r="C1" s="165"/>
      <c r="D1" s="302" t="s">
        <v>249</v>
      </c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4"/>
    </row>
    <row r="2" spans="1:24" ht="11.25" customHeight="1" x14ac:dyDescent="0.25">
      <c r="A2" s="166"/>
      <c r="B2" s="167"/>
      <c r="C2" s="168"/>
      <c r="D2" s="180" t="s">
        <v>264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305"/>
    </row>
    <row r="3" spans="1:24" ht="12.75" customHeight="1" x14ac:dyDescent="0.25">
      <c r="A3" s="166"/>
      <c r="B3" s="167"/>
      <c r="C3" s="167"/>
      <c r="D3" s="306" t="s">
        <v>50</v>
      </c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8"/>
    </row>
    <row r="4" spans="1:24" ht="12.75" customHeight="1" thickBot="1" x14ac:dyDescent="0.3">
      <c r="A4" s="169"/>
      <c r="B4" s="170"/>
      <c r="C4" s="170"/>
      <c r="D4" s="309" t="s">
        <v>270</v>
      </c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1"/>
    </row>
    <row r="5" spans="1:24" ht="18" customHeight="1" thickTop="1" thickBot="1" x14ac:dyDescent="0.3">
      <c r="A5" s="176" t="s">
        <v>51</v>
      </c>
      <c r="B5" s="177"/>
      <c r="C5" s="177"/>
      <c r="D5" s="177"/>
      <c r="E5" s="177"/>
      <c r="F5" s="177"/>
      <c r="G5" s="177"/>
      <c r="H5" s="177"/>
      <c r="I5" s="177"/>
      <c r="J5" s="178" t="s">
        <v>168</v>
      </c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9"/>
    </row>
    <row r="6" spans="1:24" ht="30.75" customHeight="1" thickTop="1" thickBot="1" x14ac:dyDescent="0.3">
      <c r="A6" s="171" t="s">
        <v>1</v>
      </c>
      <c r="B6" s="171"/>
      <c r="C6" s="171" t="s">
        <v>2</v>
      </c>
      <c r="D6" s="171" t="s">
        <v>5</v>
      </c>
      <c r="E6" s="174" t="s">
        <v>40</v>
      </c>
      <c r="F6" s="174" t="s">
        <v>66</v>
      </c>
      <c r="G6" s="171" t="s">
        <v>6</v>
      </c>
      <c r="H6" s="171"/>
      <c r="I6" s="171"/>
      <c r="J6" s="172" t="s">
        <v>39</v>
      </c>
      <c r="K6" s="172" t="s">
        <v>272</v>
      </c>
      <c r="L6" s="173" t="s">
        <v>271</v>
      </c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</row>
    <row r="7" spans="1:24" s="1" customFormat="1" ht="31.5" customHeight="1" thickTop="1" thickBot="1" x14ac:dyDescent="0.25">
      <c r="A7" s="171"/>
      <c r="B7" s="171"/>
      <c r="C7" s="171"/>
      <c r="D7" s="171"/>
      <c r="E7" s="175"/>
      <c r="F7" s="175"/>
      <c r="G7" s="27" t="s">
        <v>7</v>
      </c>
      <c r="H7" s="28" t="s">
        <v>61</v>
      </c>
      <c r="I7" s="29" t="s">
        <v>62</v>
      </c>
      <c r="J7" s="172"/>
      <c r="K7" s="172"/>
      <c r="L7" s="26" t="s">
        <v>54</v>
      </c>
      <c r="M7" s="26" t="s">
        <v>8</v>
      </c>
      <c r="N7" s="26" t="s">
        <v>9</v>
      </c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</row>
    <row r="8" spans="1:24" s="1" customFormat="1" ht="57.75" customHeight="1" thickTop="1" thickBot="1" x14ac:dyDescent="0.25">
      <c r="A8" s="36" t="s">
        <v>41</v>
      </c>
      <c r="B8" s="37" t="s">
        <v>98</v>
      </c>
      <c r="C8" s="33" t="s">
        <v>145</v>
      </c>
      <c r="D8" s="34" t="s">
        <v>105</v>
      </c>
      <c r="E8" s="24" t="s">
        <v>53</v>
      </c>
      <c r="F8" s="41" t="s">
        <v>79</v>
      </c>
      <c r="G8" s="42" t="s">
        <v>108</v>
      </c>
      <c r="H8" s="42" t="s">
        <v>107</v>
      </c>
      <c r="I8" s="42" t="s">
        <v>106</v>
      </c>
      <c r="J8" s="25">
        <v>0.78</v>
      </c>
      <c r="K8" s="25">
        <v>0.85</v>
      </c>
      <c r="L8" s="25" t="e">
        <f>'01'!$O$19</f>
        <v>#REF!</v>
      </c>
      <c r="M8" s="25">
        <f>'01'!$C$19</f>
        <v>0.78892228650653407</v>
      </c>
      <c r="N8" s="25">
        <f>'01'!$D$19</f>
        <v>0.73522244397600711</v>
      </c>
      <c r="O8" s="25">
        <f>'01'!$E$19</f>
        <v>0.79736587226993283</v>
      </c>
      <c r="P8" s="25">
        <f>'01'!$F$19</f>
        <v>0</v>
      </c>
      <c r="Q8" s="25" t="str">
        <f>'01'!$G$19</f>
        <v>-</v>
      </c>
      <c r="R8" s="25" t="str">
        <f>'01'!$H$19</f>
        <v>-</v>
      </c>
      <c r="S8" s="25" t="str">
        <f>'01'!$I$19</f>
        <v>-</v>
      </c>
      <c r="T8" s="25" t="str">
        <f>'01'!$J$19</f>
        <v>-</v>
      </c>
      <c r="U8" s="25" t="str">
        <f>'01'!$K$19</f>
        <v>-</v>
      </c>
      <c r="V8" s="25" t="str">
        <f>'01'!$L$19</f>
        <v>-</v>
      </c>
      <c r="W8" s="25" t="str">
        <f>'01'!$M$19</f>
        <v>-</v>
      </c>
      <c r="X8" s="25" t="str">
        <f>'01'!$N$19</f>
        <v>-</v>
      </c>
    </row>
    <row r="9" spans="1:24" s="1" customFormat="1" ht="49.5" customHeight="1" thickTop="1" thickBot="1" x14ac:dyDescent="0.25">
      <c r="A9" s="36" t="s">
        <v>42</v>
      </c>
      <c r="B9" s="37" t="s">
        <v>99</v>
      </c>
      <c r="C9" s="33" t="s">
        <v>146</v>
      </c>
      <c r="D9" s="34" t="s">
        <v>250</v>
      </c>
      <c r="E9" s="24" t="s">
        <v>53</v>
      </c>
      <c r="F9" s="41" t="s">
        <v>79</v>
      </c>
      <c r="G9" s="42" t="s">
        <v>110</v>
      </c>
      <c r="H9" s="42" t="s">
        <v>109</v>
      </c>
      <c r="I9" s="42" t="s">
        <v>106</v>
      </c>
      <c r="J9" s="25">
        <v>0.64</v>
      </c>
      <c r="K9" s="25">
        <v>0.75</v>
      </c>
      <c r="L9" s="25">
        <f>'02'!$O$19</f>
        <v>0.58701257917212857</v>
      </c>
      <c r="M9" s="25">
        <f>'02'!$C$19</f>
        <v>0.77397981908910662</v>
      </c>
      <c r="N9" s="25">
        <f>'02'!$D$19</f>
        <v>0.74383967071329138</v>
      </c>
      <c r="O9" s="25">
        <f>'02'!$E$19</f>
        <v>0.80578809236044036</v>
      </c>
      <c r="P9" s="25">
        <f>'02'!$F$19</f>
        <v>0</v>
      </c>
      <c r="Q9" s="25" t="str">
        <f>'02'!$G$19</f>
        <v>-</v>
      </c>
      <c r="R9" s="25" t="str">
        <f>'02'!$H$19</f>
        <v>-</v>
      </c>
      <c r="S9" s="25" t="str">
        <f>'02'!$I$19</f>
        <v>-</v>
      </c>
      <c r="T9" s="25" t="str">
        <f>'02'!$J$19</f>
        <v>-</v>
      </c>
      <c r="U9" s="25" t="str">
        <f>'02'!$K$19</f>
        <v>-</v>
      </c>
      <c r="V9" s="25" t="str">
        <f>'02'!$L$19</f>
        <v>-</v>
      </c>
      <c r="W9" s="25" t="str">
        <f>'02'!$M$19</f>
        <v>-</v>
      </c>
      <c r="X9" s="25" t="str">
        <f>'02'!$N$19</f>
        <v>-</v>
      </c>
    </row>
    <row r="10" spans="1:24" s="1" customFormat="1" ht="60" customHeight="1" thickTop="1" thickBot="1" x14ac:dyDescent="0.25">
      <c r="A10" s="36" t="s">
        <v>43</v>
      </c>
      <c r="B10" s="37" t="s">
        <v>177</v>
      </c>
      <c r="C10" s="33" t="s">
        <v>147</v>
      </c>
      <c r="D10" s="34" t="s">
        <v>112</v>
      </c>
      <c r="E10" s="24" t="s">
        <v>53</v>
      </c>
      <c r="F10" s="41" t="s">
        <v>79</v>
      </c>
      <c r="G10" s="42" t="s">
        <v>128</v>
      </c>
      <c r="H10" s="42" t="s">
        <v>127</v>
      </c>
      <c r="I10" s="42" t="s">
        <v>126</v>
      </c>
      <c r="J10" s="44">
        <v>16</v>
      </c>
      <c r="K10" s="44">
        <v>15</v>
      </c>
      <c r="L10" s="44">
        <f>'03'!$O$19</f>
        <v>16.152611568184263</v>
      </c>
      <c r="M10" s="44">
        <f>'03'!$C$19</f>
        <v>9.3210819506095142</v>
      </c>
      <c r="N10" s="44">
        <f>'03'!$D$19</f>
        <v>10.490114474059027</v>
      </c>
      <c r="O10" s="44">
        <f>'03'!$E$19</f>
        <v>7.3247952247953965</v>
      </c>
      <c r="P10" s="44">
        <f>'03'!$F$19</f>
        <v>37.148649495175981</v>
      </c>
      <c r="Q10" s="44">
        <f>'03'!$G$19</f>
        <v>0</v>
      </c>
      <c r="R10" s="44">
        <f>'03'!$H$19</f>
        <v>0</v>
      </c>
      <c r="S10" s="44">
        <f>'03'!$I$19</f>
        <v>0</v>
      </c>
      <c r="T10" s="44">
        <f>'03'!$J$19</f>
        <v>0</v>
      </c>
      <c r="U10" s="44">
        <f>'03'!$K$19</f>
        <v>0</v>
      </c>
      <c r="V10" s="44">
        <f>'03'!$L$19</f>
        <v>0</v>
      </c>
      <c r="W10" s="44">
        <f>'03'!$M$19</f>
        <v>0</v>
      </c>
      <c r="X10" s="44">
        <f>'03'!$N$19</f>
        <v>0</v>
      </c>
    </row>
    <row r="11" spans="1:24" s="1" customFormat="1" ht="52.5" customHeight="1" thickTop="1" thickBot="1" x14ac:dyDescent="0.25">
      <c r="A11" s="36" t="s">
        <v>44</v>
      </c>
      <c r="B11" s="37" t="s">
        <v>178</v>
      </c>
      <c r="C11" s="33" t="s">
        <v>148</v>
      </c>
      <c r="D11" s="34" t="s">
        <v>113</v>
      </c>
      <c r="E11" s="24" t="s">
        <v>53</v>
      </c>
      <c r="F11" s="41" t="s">
        <v>79</v>
      </c>
      <c r="G11" s="42" t="s">
        <v>108</v>
      </c>
      <c r="H11" s="42" t="s">
        <v>107</v>
      </c>
      <c r="I11" s="42" t="s">
        <v>106</v>
      </c>
      <c r="J11" s="25">
        <v>0.92</v>
      </c>
      <c r="K11" s="25">
        <v>1</v>
      </c>
      <c r="L11" s="25" t="str">
        <f>'04'!$O$19</f>
        <v>-</v>
      </c>
      <c r="M11" s="25" t="str">
        <f>'04'!$C$19</f>
        <v>-</v>
      </c>
      <c r="N11" s="25" t="str">
        <f>'04'!$D$19</f>
        <v>-</v>
      </c>
      <c r="O11" s="25" t="str">
        <f>'04'!$E$19</f>
        <v>-</v>
      </c>
      <c r="P11" s="25" t="str">
        <f>'04'!$F$19</f>
        <v>-</v>
      </c>
      <c r="Q11" s="25" t="str">
        <f>'04'!$G$19</f>
        <v>-</v>
      </c>
      <c r="R11" s="25" t="str">
        <f>'04'!$H$19</f>
        <v>-</v>
      </c>
      <c r="S11" s="25" t="str">
        <f>'04'!$I$19</f>
        <v>-</v>
      </c>
      <c r="T11" s="25" t="str">
        <f>'04'!$J$19</f>
        <v>-</v>
      </c>
      <c r="U11" s="25" t="str">
        <f>'04'!$K$19</f>
        <v>-</v>
      </c>
      <c r="V11" s="25" t="str">
        <f>'04'!$L$19</f>
        <v>-</v>
      </c>
      <c r="W11" s="25" t="str">
        <f>'04'!$M$19</f>
        <v>-</v>
      </c>
      <c r="X11" s="25" t="str">
        <f>'04'!$N$19</f>
        <v>-</v>
      </c>
    </row>
    <row r="12" spans="1:24" s="1" customFormat="1" ht="60" customHeight="1" thickTop="1" thickBot="1" x14ac:dyDescent="0.25">
      <c r="A12" s="36" t="s">
        <v>45</v>
      </c>
      <c r="B12" s="37" t="s">
        <v>173</v>
      </c>
      <c r="C12" s="33" t="s">
        <v>150</v>
      </c>
      <c r="D12" s="34" t="s">
        <v>253</v>
      </c>
      <c r="E12" s="24" t="s">
        <v>53</v>
      </c>
      <c r="F12" s="41" t="s">
        <v>79</v>
      </c>
      <c r="G12" s="42" t="s">
        <v>108</v>
      </c>
      <c r="H12" s="42" t="s">
        <v>107</v>
      </c>
      <c r="I12" s="42" t="s">
        <v>106</v>
      </c>
      <c r="J12" s="25">
        <v>0.99</v>
      </c>
      <c r="K12" s="25">
        <v>1</v>
      </c>
      <c r="L12" s="25" t="str">
        <f>'05'!$O$19</f>
        <v>-</v>
      </c>
      <c r="M12" s="25" t="str">
        <f>'05'!$C$19</f>
        <v>-</v>
      </c>
      <c r="N12" s="25" t="str">
        <f>'05'!$D$19</f>
        <v>-</v>
      </c>
      <c r="O12" s="25" t="str">
        <f>'05'!$E$19</f>
        <v>-</v>
      </c>
      <c r="P12" s="25" t="str">
        <f>'05'!$F$19</f>
        <v>-</v>
      </c>
      <c r="Q12" s="25" t="str">
        <f>'05'!$G$19</f>
        <v>-</v>
      </c>
      <c r="R12" s="25" t="str">
        <f>'05'!$H$19</f>
        <v>-</v>
      </c>
      <c r="S12" s="25" t="str">
        <f>'05'!$I$19</f>
        <v>-</v>
      </c>
      <c r="T12" s="25" t="str">
        <f>'05'!$J$19</f>
        <v>-</v>
      </c>
      <c r="U12" s="25" t="str">
        <f>'05'!$K$19</f>
        <v>-</v>
      </c>
      <c r="V12" s="25" t="str">
        <f>'05'!$L$19</f>
        <v>-</v>
      </c>
      <c r="W12" s="25" t="str">
        <f>'05'!$M$19</f>
        <v>-</v>
      </c>
      <c r="X12" s="25" t="str">
        <f>'05'!$N$19</f>
        <v>-</v>
      </c>
    </row>
    <row r="13" spans="1:24" s="1" customFormat="1" ht="52.5" customHeight="1" thickTop="1" thickBot="1" x14ac:dyDescent="0.25">
      <c r="A13" s="36" t="s">
        <v>46</v>
      </c>
      <c r="B13" s="38" t="s">
        <v>174</v>
      </c>
      <c r="C13" s="33" t="s">
        <v>149</v>
      </c>
      <c r="D13" s="34" t="s">
        <v>254</v>
      </c>
      <c r="E13" s="24" t="s">
        <v>53</v>
      </c>
      <c r="F13" s="41" t="s">
        <v>79</v>
      </c>
      <c r="G13" s="42" t="s">
        <v>108</v>
      </c>
      <c r="H13" s="42" t="s">
        <v>107</v>
      </c>
      <c r="I13" s="42" t="s">
        <v>106</v>
      </c>
      <c r="J13" s="25">
        <v>0.94</v>
      </c>
      <c r="K13" s="25">
        <v>1</v>
      </c>
      <c r="L13" s="25" t="str">
        <f>'06'!$O$19</f>
        <v>-</v>
      </c>
      <c r="M13" s="25" t="str">
        <f>'06'!$C$19</f>
        <v>-</v>
      </c>
      <c r="N13" s="25" t="str">
        <f>'06'!$D$19</f>
        <v>-</v>
      </c>
      <c r="O13" s="25" t="str">
        <f>'06'!$E$19</f>
        <v>-</v>
      </c>
      <c r="P13" s="25" t="str">
        <f>'06'!$F$19</f>
        <v>-</v>
      </c>
      <c r="Q13" s="25" t="str">
        <f>'06'!$G$19</f>
        <v>-</v>
      </c>
      <c r="R13" s="25" t="str">
        <f>'06'!$H$19</f>
        <v>-</v>
      </c>
      <c r="S13" s="25" t="str">
        <f>'06'!$I$19</f>
        <v>-</v>
      </c>
      <c r="T13" s="25" t="str">
        <f>'06'!$J$19</f>
        <v>-</v>
      </c>
      <c r="U13" s="25" t="str">
        <f>'06'!$K$19</f>
        <v>-</v>
      </c>
      <c r="V13" s="25" t="str">
        <f>'06'!$L$19</f>
        <v>-</v>
      </c>
      <c r="W13" s="25" t="str">
        <f>'06'!$M$19</f>
        <v>-</v>
      </c>
      <c r="X13" s="25" t="str">
        <f>'06'!$N$19</f>
        <v>-</v>
      </c>
    </row>
    <row r="14" spans="1:24" s="1" customFormat="1" ht="48.75" customHeight="1" thickTop="1" thickBot="1" x14ac:dyDescent="0.25">
      <c r="A14" s="36" t="s">
        <v>47</v>
      </c>
      <c r="B14" s="37" t="s">
        <v>175</v>
      </c>
      <c r="C14" s="33" t="s">
        <v>151</v>
      </c>
      <c r="D14" s="34" t="s">
        <v>114</v>
      </c>
      <c r="E14" s="24" t="s">
        <v>53</v>
      </c>
      <c r="F14" s="41" t="s">
        <v>79</v>
      </c>
      <c r="G14" s="42" t="s">
        <v>108</v>
      </c>
      <c r="H14" s="42" t="s">
        <v>107</v>
      </c>
      <c r="I14" s="42" t="s">
        <v>106</v>
      </c>
      <c r="J14" s="25">
        <v>0.95</v>
      </c>
      <c r="K14" s="25">
        <v>1</v>
      </c>
      <c r="L14" s="25" t="str">
        <f>'07'!$O$19</f>
        <v>-</v>
      </c>
      <c r="M14" s="25" t="str">
        <f>'07'!$C$19</f>
        <v>-</v>
      </c>
      <c r="N14" s="25" t="str">
        <f>'07'!$D$19</f>
        <v>-</v>
      </c>
      <c r="O14" s="25" t="str">
        <f>'07'!$E$19</f>
        <v>-</v>
      </c>
      <c r="P14" s="25" t="str">
        <f>'07'!$F$19</f>
        <v>-</v>
      </c>
      <c r="Q14" s="25" t="str">
        <f>'07'!$G$19</f>
        <v>-</v>
      </c>
      <c r="R14" s="25" t="str">
        <f>'07'!$H$19</f>
        <v>-</v>
      </c>
      <c r="S14" s="25" t="str">
        <f>'07'!$I$19</f>
        <v>-</v>
      </c>
      <c r="T14" s="25" t="str">
        <f>'07'!$J$19</f>
        <v>-</v>
      </c>
      <c r="U14" s="25" t="str">
        <f>'07'!$K$19</f>
        <v>-</v>
      </c>
      <c r="V14" s="25" t="str">
        <f>'07'!$L$19</f>
        <v>-</v>
      </c>
      <c r="W14" s="25" t="str">
        <f>'07'!$M$19</f>
        <v>-</v>
      </c>
      <c r="X14" s="25" t="str">
        <f>'07'!$N$19</f>
        <v>-</v>
      </c>
    </row>
    <row r="15" spans="1:24" s="1" customFormat="1" ht="47.25" customHeight="1" thickTop="1" thickBot="1" x14ac:dyDescent="0.25">
      <c r="A15" s="36" t="s">
        <v>48</v>
      </c>
      <c r="B15" s="37" t="s">
        <v>100</v>
      </c>
      <c r="C15" s="33" t="s">
        <v>153</v>
      </c>
      <c r="D15" s="34" t="s">
        <v>255</v>
      </c>
      <c r="E15" s="24" t="s">
        <v>53</v>
      </c>
      <c r="F15" s="41" t="s">
        <v>79</v>
      </c>
      <c r="G15" s="42" t="s">
        <v>108</v>
      </c>
      <c r="H15" s="42" t="s">
        <v>107</v>
      </c>
      <c r="I15" s="42" t="s">
        <v>106</v>
      </c>
      <c r="J15" s="25">
        <v>0.96</v>
      </c>
      <c r="K15" s="25">
        <v>0.98</v>
      </c>
      <c r="L15" s="25">
        <f>'08'!$O$19</f>
        <v>0.91115510013972989</v>
      </c>
      <c r="M15" s="25">
        <f>'08'!$C$19</f>
        <v>0.90658570761326485</v>
      </c>
      <c r="N15" s="25">
        <f>'08'!$D$19</f>
        <v>0.91028037383177574</v>
      </c>
      <c r="O15" s="25">
        <f>'08'!$E$19</f>
        <v>0.91302325581395349</v>
      </c>
      <c r="P15" s="25">
        <f>'08'!$F$19</f>
        <v>0.91469633750579504</v>
      </c>
      <c r="Q15" s="25" t="str">
        <f>'08'!$G$19</f>
        <v>-</v>
      </c>
      <c r="R15" s="25" t="str">
        <f>'08'!$H$19</f>
        <v>-</v>
      </c>
      <c r="S15" s="25" t="str">
        <f>'08'!$I$19</f>
        <v>-</v>
      </c>
      <c r="T15" s="25" t="str">
        <f>'08'!$J$19</f>
        <v>-</v>
      </c>
      <c r="U15" s="25" t="str">
        <f>'08'!$K$19</f>
        <v>-</v>
      </c>
      <c r="V15" s="25" t="str">
        <f>'08'!$L$19</f>
        <v>-</v>
      </c>
      <c r="W15" s="25" t="str">
        <f>'08'!$M$19</f>
        <v>-</v>
      </c>
      <c r="X15" s="25" t="str">
        <f>'08'!$N$19</f>
        <v>-</v>
      </c>
    </row>
    <row r="16" spans="1:24" ht="49.5" customHeight="1" thickTop="1" thickBot="1" x14ac:dyDescent="0.3">
      <c r="A16" s="36" t="s">
        <v>49</v>
      </c>
      <c r="B16" s="37" t="s">
        <v>101</v>
      </c>
      <c r="C16" s="33" t="s">
        <v>157</v>
      </c>
      <c r="D16" s="34" t="s">
        <v>115</v>
      </c>
      <c r="E16" s="24" t="s">
        <v>53</v>
      </c>
      <c r="F16" s="41" t="s">
        <v>79</v>
      </c>
      <c r="G16" s="42" t="s">
        <v>118</v>
      </c>
      <c r="H16" s="42" t="s">
        <v>117</v>
      </c>
      <c r="I16" s="42" t="s">
        <v>116</v>
      </c>
      <c r="J16" s="25">
        <v>0.05</v>
      </c>
      <c r="K16" s="25">
        <v>0.05</v>
      </c>
      <c r="L16" s="25">
        <f>'09'!$O$19</f>
        <v>0</v>
      </c>
      <c r="M16" s="25" t="str">
        <f>'09'!$C$19</f>
        <v>-</v>
      </c>
      <c r="N16" s="25" t="str">
        <f>'09'!$D$19</f>
        <v>-</v>
      </c>
      <c r="O16" s="25" t="str">
        <f>'09'!$E$19</f>
        <v>-</v>
      </c>
      <c r="P16" s="25" t="str">
        <f>'09'!$F$19</f>
        <v>-</v>
      </c>
      <c r="Q16" s="25" t="str">
        <f>'09'!$G$19</f>
        <v>-</v>
      </c>
      <c r="R16" s="25" t="str">
        <f>'09'!$H$19</f>
        <v>-</v>
      </c>
      <c r="S16" s="25" t="str">
        <f>'09'!$I$19</f>
        <v>-</v>
      </c>
      <c r="T16" s="25" t="str">
        <f>'09'!$J$19</f>
        <v>-</v>
      </c>
      <c r="U16" s="25" t="str">
        <f>'09'!$K$19</f>
        <v>-</v>
      </c>
      <c r="V16" s="25" t="str">
        <f>'09'!$L$19</f>
        <v>-</v>
      </c>
      <c r="W16" s="25" t="str">
        <f>'09'!$M$19</f>
        <v>-</v>
      </c>
      <c r="X16" s="25" t="str">
        <f>'09'!$N$19</f>
        <v>-</v>
      </c>
    </row>
    <row r="17" spans="1:26" ht="48.75" customHeight="1" thickTop="1" thickBot="1" x14ac:dyDescent="0.3">
      <c r="A17" s="36" t="s">
        <v>94</v>
      </c>
      <c r="B17" s="37" t="s">
        <v>102</v>
      </c>
      <c r="C17" s="33" t="s">
        <v>152</v>
      </c>
      <c r="D17" s="34" t="s">
        <v>119</v>
      </c>
      <c r="E17" s="24" t="s">
        <v>53</v>
      </c>
      <c r="F17" s="41" t="s">
        <v>79</v>
      </c>
      <c r="G17" s="42" t="s">
        <v>122</v>
      </c>
      <c r="H17" s="42" t="s">
        <v>121</v>
      </c>
      <c r="I17" s="42" t="s">
        <v>120</v>
      </c>
      <c r="J17" s="25">
        <v>0.3</v>
      </c>
      <c r="K17" s="25">
        <v>0.29899999999999999</v>
      </c>
      <c r="L17" s="25">
        <f>'10'!$O$19</f>
        <v>-0.20551221877902628</v>
      </c>
      <c r="M17" s="25">
        <f>'10'!$C$19</f>
        <v>0.2166530768861816</v>
      </c>
      <c r="N17" s="25">
        <f>'10'!$D$19</f>
        <v>-0.2217813170983611</v>
      </c>
      <c r="O17" s="25">
        <f>'10'!$E$19</f>
        <v>0.31005884260760785</v>
      </c>
      <c r="P17" s="25" t="e">
        <f>'10'!$F$19</f>
        <v>#DIV/0!</v>
      </c>
      <c r="Q17" s="25" t="str">
        <f>'10'!$G$19</f>
        <v>-</v>
      </c>
      <c r="R17" s="25" t="str">
        <f>'10'!$H$19</f>
        <v>-</v>
      </c>
      <c r="S17" s="25" t="str">
        <f>'10'!$I$19</f>
        <v>-</v>
      </c>
      <c r="T17" s="25" t="str">
        <f>'10'!$J$19</f>
        <v>-</v>
      </c>
      <c r="U17" s="25" t="str">
        <f>'10'!$K$19</f>
        <v>-</v>
      </c>
      <c r="V17" s="25" t="str">
        <f>'10'!$L$19</f>
        <v>-</v>
      </c>
      <c r="W17" s="25" t="str">
        <f>'10'!$M$19</f>
        <v>-</v>
      </c>
      <c r="X17" s="25" t="str">
        <f>'10'!$N$19</f>
        <v>-</v>
      </c>
    </row>
    <row r="18" spans="1:26" ht="47.25" customHeight="1" thickTop="1" thickBot="1" x14ac:dyDescent="0.3">
      <c r="A18" s="36" t="s">
        <v>95</v>
      </c>
      <c r="B18" s="37" t="s">
        <v>176</v>
      </c>
      <c r="C18" s="33" t="s">
        <v>154</v>
      </c>
      <c r="D18" s="34" t="s">
        <v>165</v>
      </c>
      <c r="E18" s="24" t="s">
        <v>53</v>
      </c>
      <c r="F18" s="41" t="s">
        <v>79</v>
      </c>
      <c r="G18" s="42" t="s">
        <v>108</v>
      </c>
      <c r="H18" s="42" t="s">
        <v>107</v>
      </c>
      <c r="I18" s="42" t="s">
        <v>106</v>
      </c>
      <c r="J18" s="25">
        <v>0.98</v>
      </c>
      <c r="K18" s="25">
        <v>0.99</v>
      </c>
      <c r="L18" s="25">
        <f>'11'!$O$19</f>
        <v>1</v>
      </c>
      <c r="M18" s="25">
        <f>'11'!$C$19</f>
        <v>1</v>
      </c>
      <c r="N18" s="25">
        <f>'11'!$D$19</f>
        <v>1</v>
      </c>
      <c r="O18" s="25">
        <f>'11'!$E$19</f>
        <v>1</v>
      </c>
      <c r="P18" s="25">
        <f>'11'!$F$19</f>
        <v>1</v>
      </c>
      <c r="Q18" s="25">
        <f>'11'!$G$19</f>
        <v>1</v>
      </c>
      <c r="R18" s="25">
        <f>'11'!$H$19</f>
        <v>1</v>
      </c>
      <c r="S18" s="25">
        <f>'11'!$I$19</f>
        <v>1</v>
      </c>
      <c r="T18" s="25">
        <f>'11'!$J$19</f>
        <v>1</v>
      </c>
      <c r="U18" s="25">
        <f>'11'!$K$19</f>
        <v>1</v>
      </c>
      <c r="V18" s="25">
        <f>'11'!$L$19</f>
        <v>1</v>
      </c>
      <c r="W18" s="25">
        <f>'11'!$M$19</f>
        <v>1</v>
      </c>
      <c r="X18" s="25">
        <f>'11'!$N$19</f>
        <v>1</v>
      </c>
      <c r="Y18" s="48"/>
    </row>
    <row r="19" spans="1:26" ht="48.75" customHeight="1" thickTop="1" thickBot="1" x14ac:dyDescent="0.3">
      <c r="A19" s="36" t="s">
        <v>96</v>
      </c>
      <c r="B19" s="37" t="s">
        <v>103</v>
      </c>
      <c r="C19" s="33" t="s">
        <v>166</v>
      </c>
      <c r="D19" s="34" t="s">
        <v>256</v>
      </c>
      <c r="E19" s="24" t="s">
        <v>65</v>
      </c>
      <c r="F19" s="41" t="s">
        <v>79</v>
      </c>
      <c r="G19" s="42" t="s">
        <v>125</v>
      </c>
      <c r="H19" s="42" t="s">
        <v>124</v>
      </c>
      <c r="I19" s="42" t="s">
        <v>123</v>
      </c>
      <c r="J19" s="25">
        <v>1</v>
      </c>
      <c r="K19" s="25">
        <v>1</v>
      </c>
      <c r="L19" s="25">
        <f>'12'!$O$19</f>
        <v>0.33333333333333331</v>
      </c>
      <c r="M19" s="25">
        <f>'12'!$C$19</f>
        <v>1</v>
      </c>
      <c r="N19" s="25">
        <f>'12'!$D$19</f>
        <v>1</v>
      </c>
      <c r="O19" s="25">
        <f>'12'!$E$19</f>
        <v>1</v>
      </c>
      <c r="P19" s="25">
        <f>'12'!$F$19</f>
        <v>1</v>
      </c>
      <c r="Q19" s="25">
        <f>'12'!$G$19</f>
        <v>1</v>
      </c>
      <c r="R19" s="25">
        <f>'12'!$H$19</f>
        <v>1</v>
      </c>
      <c r="S19" s="25" t="str">
        <f>'12'!$I$19</f>
        <v>-</v>
      </c>
      <c r="T19" s="25" t="str">
        <f>'12'!$J$19</f>
        <v>-</v>
      </c>
      <c r="U19" s="25" t="str">
        <f>'12'!$K$19</f>
        <v>-</v>
      </c>
      <c r="V19" s="25" t="str">
        <f>'12'!$L$19</f>
        <v>-</v>
      </c>
      <c r="W19" s="25" t="str">
        <f>'12'!$M$19</f>
        <v>-</v>
      </c>
      <c r="X19" s="25" t="str">
        <f>'12'!$N$19</f>
        <v>-</v>
      </c>
    </row>
    <row r="20" spans="1:26" ht="48.75" customHeight="1" thickTop="1" thickBot="1" x14ac:dyDescent="0.3">
      <c r="A20" s="36" t="s">
        <v>97</v>
      </c>
      <c r="B20" s="37" t="s">
        <v>158</v>
      </c>
      <c r="C20" s="33" t="s">
        <v>159</v>
      </c>
      <c r="D20" s="34" t="s">
        <v>257</v>
      </c>
      <c r="E20" s="24" t="s">
        <v>53</v>
      </c>
      <c r="F20" s="41" t="s">
        <v>79</v>
      </c>
      <c r="G20" s="42" t="s">
        <v>160</v>
      </c>
      <c r="H20" s="42" t="s">
        <v>161</v>
      </c>
      <c r="I20" s="42" t="s">
        <v>162</v>
      </c>
      <c r="J20" s="25" t="s">
        <v>263</v>
      </c>
      <c r="K20" s="25" t="s">
        <v>263</v>
      </c>
      <c r="L20" s="25">
        <f>'13'!$O$19</f>
        <v>1.5137401024685607E-3</v>
      </c>
      <c r="M20" s="25">
        <f>'13'!$C$19</f>
        <v>9.3414292386735165E-4</v>
      </c>
      <c r="N20" s="25">
        <f>'13'!$D$19</f>
        <v>5.1401869158878505E-3</v>
      </c>
      <c r="O20" s="25">
        <f>'13'!$E$19</f>
        <v>0</v>
      </c>
      <c r="P20" s="25">
        <f>'13'!$F$19</f>
        <v>0</v>
      </c>
      <c r="Q20" s="25" t="str">
        <f>'13'!$G$19</f>
        <v>-</v>
      </c>
      <c r="R20" s="25" t="str">
        <f>'13'!$H$19</f>
        <v>-</v>
      </c>
      <c r="S20" s="25" t="str">
        <f>'13'!$I$19</f>
        <v>-</v>
      </c>
      <c r="T20" s="25" t="str">
        <f>'13'!$J$19</f>
        <v>-</v>
      </c>
      <c r="U20" s="25" t="str">
        <f>'13'!$K$19</f>
        <v>-</v>
      </c>
      <c r="V20" s="25" t="str">
        <f>'13'!$L$19</f>
        <v>-</v>
      </c>
      <c r="W20" s="25" t="str">
        <f>'13'!$M$19</f>
        <v>-</v>
      </c>
      <c r="X20" s="25" t="str">
        <f>'13'!$N$19</f>
        <v>-</v>
      </c>
    </row>
    <row r="21" spans="1:26" ht="49.5" customHeight="1" thickTop="1" thickBot="1" x14ac:dyDescent="0.3">
      <c r="A21" s="36" t="s">
        <v>156</v>
      </c>
      <c r="B21" s="37" t="s">
        <v>104</v>
      </c>
      <c r="C21" s="33" t="s">
        <v>155</v>
      </c>
      <c r="D21" s="34" t="s">
        <v>144</v>
      </c>
      <c r="E21" s="24" t="s">
        <v>53</v>
      </c>
      <c r="F21" s="41" t="s">
        <v>79</v>
      </c>
      <c r="G21" s="42" t="s">
        <v>125</v>
      </c>
      <c r="H21" s="42" t="s">
        <v>124</v>
      </c>
      <c r="I21" s="42" t="s">
        <v>123</v>
      </c>
      <c r="J21" s="25">
        <v>0.95</v>
      </c>
      <c r="K21" s="25">
        <v>1</v>
      </c>
      <c r="L21" s="25" t="str">
        <f>'14'!$O$19</f>
        <v>-</v>
      </c>
      <c r="M21" s="25" t="str">
        <f>'14'!$C$19</f>
        <v>-</v>
      </c>
      <c r="N21" s="25" t="str">
        <f>'14'!$D$19</f>
        <v>-</v>
      </c>
      <c r="O21" s="25" t="str">
        <f>'14'!$E$19</f>
        <v>-</v>
      </c>
      <c r="P21" s="25" t="str">
        <f>'14'!$F$19</f>
        <v>-</v>
      </c>
      <c r="Q21" s="25" t="str">
        <f>'14'!$G$19</f>
        <v>-</v>
      </c>
      <c r="R21" s="25" t="str">
        <f>'14'!$H$19</f>
        <v>-</v>
      </c>
      <c r="S21" s="25" t="str">
        <f>'14'!$I$19</f>
        <v>-</v>
      </c>
      <c r="T21" s="25" t="str">
        <f>'14'!$J$19</f>
        <v>-</v>
      </c>
      <c r="U21" s="25" t="str">
        <f>'14'!$K$19</f>
        <v>-</v>
      </c>
      <c r="V21" s="25" t="str">
        <f>'14'!$L$19</f>
        <v>-</v>
      </c>
      <c r="W21" s="25" t="str">
        <f>'14'!$M$19</f>
        <v>-</v>
      </c>
      <c r="X21" s="25" t="str">
        <f>'14'!$N$19</f>
        <v>-</v>
      </c>
    </row>
    <row r="22" spans="1:26" ht="6.75" customHeight="1" thickTop="1" x14ac:dyDescent="0.25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4" spans="1:26" x14ac:dyDescent="0.25">
      <c r="Z24" s="40" t="s">
        <v>67</v>
      </c>
    </row>
    <row r="25" spans="1:26" x14ac:dyDescent="0.25">
      <c r="Z25" s="40" t="s">
        <v>68</v>
      </c>
    </row>
    <row r="26" spans="1:26" x14ac:dyDescent="0.25">
      <c r="Z26" s="40" t="s">
        <v>69</v>
      </c>
    </row>
    <row r="27" spans="1:26" x14ac:dyDescent="0.25">
      <c r="Z27" s="40" t="s">
        <v>70</v>
      </c>
    </row>
    <row r="28" spans="1:26" x14ac:dyDescent="0.25">
      <c r="Z28" s="40" t="s">
        <v>71</v>
      </c>
    </row>
    <row r="29" spans="1:26" x14ac:dyDescent="0.25">
      <c r="Z29" s="40" t="s">
        <v>72</v>
      </c>
    </row>
    <row r="30" spans="1:26" x14ac:dyDescent="0.25">
      <c r="Z30" s="40" t="s">
        <v>73</v>
      </c>
    </row>
    <row r="31" spans="1:26" x14ac:dyDescent="0.25">
      <c r="Z31" s="40" t="s">
        <v>74</v>
      </c>
    </row>
    <row r="32" spans="1:26" x14ac:dyDescent="0.25">
      <c r="Z32" s="40" t="s">
        <v>168</v>
      </c>
    </row>
    <row r="33" spans="26:26" x14ac:dyDescent="0.25">
      <c r="Z33" s="40" t="s">
        <v>75</v>
      </c>
    </row>
    <row r="34" spans="26:26" x14ac:dyDescent="0.25">
      <c r="Z34" s="40" t="s">
        <v>76</v>
      </c>
    </row>
    <row r="35" spans="26:26" x14ac:dyDescent="0.25">
      <c r="Z35" s="40" t="s">
        <v>77</v>
      </c>
    </row>
    <row r="36" spans="26:26" x14ac:dyDescent="0.25">
      <c r="Z36" s="40" t="s">
        <v>78</v>
      </c>
    </row>
    <row r="38" spans="26:26" x14ac:dyDescent="0.25">
      <c r="Z38" s="40" t="s">
        <v>79</v>
      </c>
    </row>
    <row r="39" spans="26:26" x14ac:dyDescent="0.25">
      <c r="Z39" s="40" t="s">
        <v>56</v>
      </c>
    </row>
    <row r="40" spans="26:26" x14ac:dyDescent="0.25">
      <c r="Z40" s="40" t="s">
        <v>57</v>
      </c>
    </row>
    <row r="42" spans="26:26" x14ac:dyDescent="0.25">
      <c r="Z42" s="39" t="s">
        <v>4</v>
      </c>
    </row>
    <row r="43" spans="26:26" x14ac:dyDescent="0.25">
      <c r="Z43" s="39" t="s">
        <v>63</v>
      </c>
    </row>
    <row r="44" spans="26:26" x14ac:dyDescent="0.25">
      <c r="Z44" s="39" t="s">
        <v>53</v>
      </c>
    </row>
    <row r="45" spans="26:26" x14ac:dyDescent="0.25">
      <c r="Z45" s="39" t="s">
        <v>64</v>
      </c>
    </row>
    <row r="46" spans="26:26" x14ac:dyDescent="0.25">
      <c r="Z46" s="39" t="s">
        <v>65</v>
      </c>
    </row>
    <row r="47" spans="26:26" x14ac:dyDescent="0.25">
      <c r="Z47" s="39" t="s">
        <v>52</v>
      </c>
    </row>
  </sheetData>
  <mergeCells count="17">
    <mergeCell ref="D3:X3"/>
    <mergeCell ref="A22:X22"/>
    <mergeCell ref="D1:X1"/>
    <mergeCell ref="D4:X4"/>
    <mergeCell ref="A1:C4"/>
    <mergeCell ref="A6:B7"/>
    <mergeCell ref="J6:J7"/>
    <mergeCell ref="K6:K7"/>
    <mergeCell ref="L6:X6"/>
    <mergeCell ref="C6:C7"/>
    <mergeCell ref="D6:D7"/>
    <mergeCell ref="E6:E7"/>
    <mergeCell ref="G6:I6"/>
    <mergeCell ref="A5:I5"/>
    <mergeCell ref="J5:X5"/>
    <mergeCell ref="F6:F7"/>
    <mergeCell ref="D2:X2"/>
  </mergeCells>
  <conditionalFormatting sqref="L8:X8">
    <cfRule type="cellIs" dxfId="26" priority="1" operator="between">
      <formula>0.8</formula>
      <formula>1000000</formula>
    </cfRule>
    <cfRule type="cellIs" dxfId="25" priority="2" operator="between">
      <formula>0.59</formula>
      <formula>0.7999</formula>
    </cfRule>
    <cfRule type="cellIs" dxfId="24" priority="3" operator="lessThan">
      <formula>0.59</formula>
    </cfRule>
  </conditionalFormatting>
  <conditionalFormatting sqref="L9:X9">
    <cfRule type="cellIs" dxfId="23" priority="31" operator="between">
      <formula>0.71</formula>
      <formula>100000</formula>
    </cfRule>
    <cfRule type="cellIs" dxfId="22" priority="32" operator="between">
      <formula>0.6</formula>
      <formula>0.709</formula>
    </cfRule>
    <cfRule type="cellIs" dxfId="21" priority="33" operator="between">
      <formula>0</formula>
      <formula>0.599</formula>
    </cfRule>
  </conditionalFormatting>
  <conditionalFormatting sqref="L10:X10">
    <cfRule type="cellIs" dxfId="20" priority="28" operator="between">
      <formula>45</formula>
      <formula>1000000000</formula>
    </cfRule>
    <cfRule type="cellIs" dxfId="19" priority="29" operator="between">
      <formula>31</formula>
      <formula>44.9</formula>
    </cfRule>
    <cfRule type="cellIs" dxfId="18" priority="30" operator="between">
      <formula>0</formula>
      <formula>30.9</formula>
    </cfRule>
  </conditionalFormatting>
  <conditionalFormatting sqref="L11:X15">
    <cfRule type="cellIs" dxfId="17" priority="25" operator="between">
      <formula>0.8</formula>
      <formula>10000000</formula>
    </cfRule>
    <cfRule type="cellIs" dxfId="16" priority="26" operator="between">
      <formula>0.6</formula>
      <formula>0.799</formula>
    </cfRule>
    <cfRule type="cellIs" dxfId="15" priority="27" operator="between">
      <formula>0</formula>
      <formula>0.599</formula>
    </cfRule>
  </conditionalFormatting>
  <conditionalFormatting sqref="L16:X16">
    <cfRule type="cellIs" dxfId="14" priority="22" operator="between">
      <formula>0.081</formula>
      <formula>100000000</formula>
    </cfRule>
    <cfRule type="cellIs" dxfId="13" priority="23" operator="between">
      <formula>0.05</formula>
      <formula>0.08</formula>
    </cfRule>
    <cfRule type="cellIs" dxfId="12" priority="24" operator="between">
      <formula>0</formula>
      <formula>0.049</formula>
    </cfRule>
  </conditionalFormatting>
  <conditionalFormatting sqref="L17:X17">
    <cfRule type="cellIs" dxfId="11" priority="19" operator="between">
      <formula>0.501</formula>
      <formula>1000000</formula>
    </cfRule>
    <cfRule type="cellIs" dxfId="10" priority="20" operator="between">
      <formula>0.3</formula>
      <formula>0.5</formula>
    </cfRule>
    <cfRule type="cellIs" dxfId="9" priority="21" operator="between">
      <formula>0</formula>
      <formula>0.299</formula>
    </cfRule>
  </conditionalFormatting>
  <conditionalFormatting sqref="L18:X18">
    <cfRule type="cellIs" dxfId="8" priority="16" operator="between">
      <formula>0.8</formula>
      <formula>1000000</formula>
    </cfRule>
    <cfRule type="cellIs" dxfId="7" priority="17" operator="between">
      <formula>0.6</formula>
      <formula>0.799</formula>
    </cfRule>
    <cfRule type="cellIs" dxfId="6" priority="18" operator="between">
      <formula>0</formula>
      <formula>0.599</formula>
    </cfRule>
  </conditionalFormatting>
  <conditionalFormatting sqref="L19:X19 L21:X21">
    <cfRule type="cellIs" dxfId="5" priority="13" operator="between">
      <formula>0.91</formula>
      <formula>10000000</formula>
    </cfRule>
    <cfRule type="cellIs" dxfId="4" priority="14" operator="between">
      <formula>0.71</formula>
      <formula>0.909</formula>
    </cfRule>
    <cfRule type="cellIs" dxfId="3" priority="15" operator="between">
      <formula>0</formula>
      <formula>0.709</formula>
    </cfRule>
  </conditionalFormatting>
  <conditionalFormatting sqref="L20:X20">
    <cfRule type="cellIs" dxfId="2" priority="7" operator="between">
      <formula>0.201</formula>
      <formula>1000000</formula>
    </cfRule>
    <cfRule type="cellIs" dxfId="1" priority="8" operator="between">
      <formula>0.101</formula>
      <formula>0.2</formula>
    </cfRule>
    <cfRule type="cellIs" dxfId="0" priority="9" operator="between">
      <formula>0</formula>
      <formula>0.1</formula>
    </cfRule>
  </conditionalFormatting>
  <dataValidations count="3">
    <dataValidation type="list" allowBlank="1" showInputMessage="1" showErrorMessage="1" sqref="E8:E21" xr:uid="{00000000-0002-0000-0000-000000000000}">
      <formula1>$Z$42:$Z$47</formula1>
    </dataValidation>
    <dataValidation type="list" allowBlank="1" showInputMessage="1" showErrorMessage="1" sqref="J5:X5" xr:uid="{00000000-0002-0000-0000-000001000000}">
      <formula1>$Z$24:$Z$36</formula1>
    </dataValidation>
    <dataValidation type="list" allowBlank="1" showInputMessage="1" showErrorMessage="1" sqref="F8:F21" xr:uid="{00000000-0002-0000-0000-000002000000}">
      <formula1>$Z$38:$Z$40</formula1>
    </dataValidation>
  </dataValidations>
  <pageMargins left="0.27559055118110237" right="0.27559055118110237" top="0.19685039370078741" bottom="0.19685039370078741" header="0.31496062992125984" footer="0.11811023622047245"/>
  <pageSetup scale="75" orientation="landscape" horizontalDpi="4294967294" verticalDpi="4294967294" r:id="rId1"/>
  <headerFooter>
    <oddFooter>&amp;R&amp;8Diseñado por: Wilson Andrade González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.7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6.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4.2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Tarquí'!$B16</f>
        <v>Calidad del Agua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Tarquí'!F16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Tarquí'!A16</f>
        <v>IN09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28.5" customHeight="1" thickBot="1" x14ac:dyDescent="0.3">
      <c r="A11" s="220" t="str">
        <f>'SET SP Tarquí'!$C16</f>
        <v>Monitorear la calidad de agua suministrada a los usuarios por parte de Aguas de Huila.</v>
      </c>
      <c r="B11" s="221"/>
      <c r="C11" s="221"/>
      <c r="D11" s="221"/>
      <c r="E11" s="14" t="s">
        <v>35</v>
      </c>
      <c r="F11" s="299" t="str">
        <f>'SET SP Tarquí'!$D16</f>
        <v xml:space="preserve">Medición de acuerdo al IRCA          </v>
      </c>
      <c r="G11" s="301"/>
      <c r="H11" s="12">
        <f>$O18</f>
        <v>0.05</v>
      </c>
      <c r="I11" s="13" t="str">
        <f>'SET SP Tarquí'!$E16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+'08'!A15:O15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0.05</v>
      </c>
      <c r="D17" s="52">
        <f t="shared" si="0"/>
        <v>0.05</v>
      </c>
      <c r="E17" s="52">
        <f t="shared" si="0"/>
        <v>0.05</v>
      </c>
      <c r="F17" s="52">
        <f t="shared" si="0"/>
        <v>0.05</v>
      </c>
      <c r="G17" s="52">
        <f t="shared" si="0"/>
        <v>0.05</v>
      </c>
      <c r="H17" s="52">
        <f t="shared" si="0"/>
        <v>0.05</v>
      </c>
      <c r="I17" s="52">
        <f t="shared" si="0"/>
        <v>0.05</v>
      </c>
      <c r="J17" s="52">
        <f t="shared" si="0"/>
        <v>0.05</v>
      </c>
      <c r="K17" s="52">
        <f t="shared" si="0"/>
        <v>0.05</v>
      </c>
      <c r="L17" s="52">
        <f t="shared" si="0"/>
        <v>0.05</v>
      </c>
      <c r="M17" s="52">
        <f t="shared" si="0"/>
        <v>0.05</v>
      </c>
      <c r="N17" s="52">
        <f t="shared" si="0"/>
        <v>0.05</v>
      </c>
      <c r="O17" s="98">
        <f>'SET SP Tarquí'!J16</f>
        <v>0.05</v>
      </c>
      <c r="V17" s="7"/>
      <c r="W17" s="8"/>
      <c r="X17" s="8"/>
    </row>
    <row r="18" spans="1:24" ht="17.25" customHeight="1" x14ac:dyDescent="0.25">
      <c r="A18" s="263" t="str">
        <f>+'08'!A18:B18</f>
        <v>META  AÑO 2025</v>
      </c>
      <c r="B18" s="264"/>
      <c r="C18" s="52">
        <f t="shared" ref="C18:N18" si="1">$O$18</f>
        <v>0.05</v>
      </c>
      <c r="D18" s="52">
        <f t="shared" si="1"/>
        <v>0.05</v>
      </c>
      <c r="E18" s="52">
        <f t="shared" si="1"/>
        <v>0.05</v>
      </c>
      <c r="F18" s="52">
        <f t="shared" si="1"/>
        <v>0.05</v>
      </c>
      <c r="G18" s="52">
        <f t="shared" si="1"/>
        <v>0.05</v>
      </c>
      <c r="H18" s="52">
        <f t="shared" si="1"/>
        <v>0.05</v>
      </c>
      <c r="I18" s="52">
        <f t="shared" si="1"/>
        <v>0.05</v>
      </c>
      <c r="J18" s="52">
        <f t="shared" si="1"/>
        <v>0.05</v>
      </c>
      <c r="K18" s="52">
        <f t="shared" si="1"/>
        <v>0.05</v>
      </c>
      <c r="L18" s="52">
        <f t="shared" si="1"/>
        <v>0.05</v>
      </c>
      <c r="M18" s="52">
        <f t="shared" si="1"/>
        <v>0.05</v>
      </c>
      <c r="N18" s="52">
        <f t="shared" si="1"/>
        <v>0.05</v>
      </c>
      <c r="O18" s="98">
        <f>'SET SP Tarquí'!K16</f>
        <v>0.05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60" t="str">
        <f>IF(C20,C20,"-")</f>
        <v>-</v>
      </c>
      <c r="D19" s="60" t="str">
        <f t="shared" ref="D19:N19" si="2">IF(D20,D20,"-")</f>
        <v>-</v>
      </c>
      <c r="E19" s="60" t="str">
        <f t="shared" si="2"/>
        <v>-</v>
      </c>
      <c r="F19" s="60" t="str">
        <f t="shared" si="2"/>
        <v>-</v>
      </c>
      <c r="G19" s="60" t="str">
        <f t="shared" si="2"/>
        <v>-</v>
      </c>
      <c r="H19" s="60" t="str">
        <f t="shared" si="2"/>
        <v>-</v>
      </c>
      <c r="I19" s="60" t="str">
        <f t="shared" si="2"/>
        <v>-</v>
      </c>
      <c r="J19" s="60" t="str">
        <f t="shared" si="2"/>
        <v>-</v>
      </c>
      <c r="K19" s="60" t="str">
        <f t="shared" si="2"/>
        <v>-</v>
      </c>
      <c r="L19" s="60" t="str">
        <f t="shared" si="2"/>
        <v>-</v>
      </c>
      <c r="M19" s="60" t="str">
        <f t="shared" si="2"/>
        <v>-</v>
      </c>
      <c r="N19" s="60" t="str">
        <f t="shared" si="2"/>
        <v>-</v>
      </c>
      <c r="O19" s="11">
        <f>IF(ISNUMBER(O20),O20,"-")</f>
        <v>0</v>
      </c>
      <c r="V19" s="7"/>
      <c r="W19" s="8"/>
      <c r="X19" s="8"/>
    </row>
    <row r="20" spans="1:24" ht="23.25" customHeight="1" x14ac:dyDescent="0.25">
      <c r="A20" s="269" t="s">
        <v>37</v>
      </c>
      <c r="B20" s="31" t="s">
        <v>140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/>
      <c r="N20" s="52"/>
      <c r="O20" s="16">
        <f>AVERAGE(C20:N20)</f>
        <v>0</v>
      </c>
      <c r="V20" s="7"/>
      <c r="W20" s="8"/>
      <c r="X20" s="8"/>
    </row>
    <row r="21" spans="1:24" ht="21" customHeight="1" x14ac:dyDescent="0.25">
      <c r="A21" s="269"/>
      <c r="B21" s="6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7.2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Tarquí'!$G16</f>
        <v>Menor al 5%</v>
      </c>
      <c r="E24" s="261"/>
      <c r="F24" s="261"/>
      <c r="G24" s="262"/>
      <c r="H24" s="260" t="str">
        <f>'SET SP Tarquí'!$H16</f>
        <v>Entre el 5% y el 8%</v>
      </c>
      <c r="I24" s="261"/>
      <c r="J24" s="261"/>
      <c r="K24" s="262"/>
      <c r="L24" s="260" t="str">
        <f>'SET SP Tarquí'!$I16</f>
        <v>Mayor al 8%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5.25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0.05</v>
      </c>
    </row>
    <row r="61" spans="17:17" x14ac:dyDescent="0.25">
      <c r="Q61" s="35">
        <v>4.9000000000000002E-2</v>
      </c>
    </row>
  </sheetData>
  <mergeCells count="76">
    <mergeCell ref="A38:M38"/>
    <mergeCell ref="N38:O38"/>
    <mergeCell ref="A39:M39"/>
    <mergeCell ref="N39:O39"/>
    <mergeCell ref="A40:M40"/>
    <mergeCell ref="N40:O40"/>
    <mergeCell ref="A35:M35"/>
    <mergeCell ref="N35:O35"/>
    <mergeCell ref="A36:M36"/>
    <mergeCell ref="N36:O36"/>
    <mergeCell ref="A37:M37"/>
    <mergeCell ref="N37:O37"/>
    <mergeCell ref="A32:M32"/>
    <mergeCell ref="N32:O32"/>
    <mergeCell ref="A33:M33"/>
    <mergeCell ref="N33:O33"/>
    <mergeCell ref="A34:M34"/>
    <mergeCell ref="N34:O34"/>
    <mergeCell ref="N29:O29"/>
    <mergeCell ref="A30:M30"/>
    <mergeCell ref="N30:O30"/>
    <mergeCell ref="A31:M31"/>
    <mergeCell ref="N31:O31"/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L25:O25"/>
    <mergeCell ref="A29:M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16:B16"/>
    <mergeCell ref="I9:I10"/>
    <mergeCell ref="J9:K10"/>
    <mergeCell ref="L9:O9"/>
    <mergeCell ref="L10:M10"/>
    <mergeCell ref="H9:H10"/>
    <mergeCell ref="N10:O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11:D11"/>
    <mergeCell ref="F11:G11"/>
    <mergeCell ref="L24:O24"/>
    <mergeCell ref="D25:G25"/>
    <mergeCell ref="H25:K25"/>
    <mergeCell ref="A13:O13"/>
  </mergeCells>
  <dataValidations count="1">
    <dataValidation type="list" allowBlank="1" showInputMessage="1" showErrorMessage="1" sqref="J11:O11" xr:uid="{00000000-0002-0000-09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X64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6" width="7.7109375" style="2" customWidth="1"/>
    <col min="17" max="18" width="7.7109375" style="2" hidden="1" customWidth="1"/>
    <col min="19" max="19" width="7.71093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.7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3.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Tarquí'!$B17</f>
        <v>Índice de agua no contabilizada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Tarquí'!F17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Tarquí'!A17</f>
        <v>IN10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45.75" customHeight="1" thickBot="1" x14ac:dyDescent="0.3">
      <c r="A11" s="220" t="str">
        <f>'SET SP Tarquí'!$C17</f>
        <v>Lograr que Aguas del Huila facture la totalidad del agua producida.</v>
      </c>
      <c r="B11" s="221"/>
      <c r="C11" s="221"/>
      <c r="D11" s="221"/>
      <c r="E11" s="14" t="s">
        <v>35</v>
      </c>
      <c r="F11" s="299" t="str">
        <f>'SET SP Tarquí'!$D17</f>
        <v xml:space="preserve">(Volumen  producido - Volumen facturado /   Volumen  producido)   x 100          </v>
      </c>
      <c r="G11" s="301"/>
      <c r="H11" s="12">
        <f>$O18</f>
        <v>0.29899999999999999</v>
      </c>
      <c r="I11" s="13" t="str">
        <f>'SET SP Tarquí'!$E17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+'09'!A15:O15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0.3</v>
      </c>
      <c r="D17" s="52">
        <f t="shared" si="0"/>
        <v>0.3</v>
      </c>
      <c r="E17" s="52">
        <f t="shared" si="0"/>
        <v>0.3</v>
      </c>
      <c r="F17" s="52">
        <f t="shared" si="0"/>
        <v>0.3</v>
      </c>
      <c r="G17" s="52">
        <f t="shared" si="0"/>
        <v>0.3</v>
      </c>
      <c r="H17" s="52">
        <f t="shared" si="0"/>
        <v>0.3</v>
      </c>
      <c r="I17" s="52">
        <f t="shared" si="0"/>
        <v>0.3</v>
      </c>
      <c r="J17" s="52">
        <f t="shared" si="0"/>
        <v>0.3</v>
      </c>
      <c r="K17" s="52">
        <f t="shared" si="0"/>
        <v>0.3</v>
      </c>
      <c r="L17" s="52">
        <f t="shared" si="0"/>
        <v>0.3</v>
      </c>
      <c r="M17" s="52">
        <f t="shared" si="0"/>
        <v>0.3</v>
      </c>
      <c r="N17" s="52">
        <f t="shared" si="0"/>
        <v>0.3</v>
      </c>
      <c r="O17" s="98">
        <f>'SET SP Tarquí'!J17</f>
        <v>0.3</v>
      </c>
      <c r="V17" s="7"/>
      <c r="W17" s="8"/>
      <c r="X17" s="8"/>
    </row>
    <row r="18" spans="1:24" ht="17.25" customHeight="1" x14ac:dyDescent="0.25">
      <c r="A18" s="263" t="str">
        <f>+'09'!A18:B18</f>
        <v>META  AÑO 2025</v>
      </c>
      <c r="B18" s="264"/>
      <c r="C18" s="52">
        <f t="shared" ref="C18:N18" si="1">$O$18</f>
        <v>0.29899999999999999</v>
      </c>
      <c r="D18" s="52">
        <f t="shared" si="1"/>
        <v>0.29899999999999999</v>
      </c>
      <c r="E18" s="52">
        <f t="shared" si="1"/>
        <v>0.29899999999999999</v>
      </c>
      <c r="F18" s="52">
        <f t="shared" si="1"/>
        <v>0.29899999999999999</v>
      </c>
      <c r="G18" s="52">
        <f t="shared" si="1"/>
        <v>0.29899999999999999</v>
      </c>
      <c r="H18" s="52">
        <f t="shared" si="1"/>
        <v>0.29899999999999999</v>
      </c>
      <c r="I18" s="52">
        <f t="shared" si="1"/>
        <v>0.29899999999999999</v>
      </c>
      <c r="J18" s="52">
        <f t="shared" si="1"/>
        <v>0.29899999999999999</v>
      </c>
      <c r="K18" s="52">
        <f t="shared" si="1"/>
        <v>0.29899999999999999</v>
      </c>
      <c r="L18" s="52">
        <f t="shared" si="1"/>
        <v>0.29899999999999999</v>
      </c>
      <c r="M18" s="52">
        <f t="shared" si="1"/>
        <v>0.29899999999999999</v>
      </c>
      <c r="N18" s="52">
        <f t="shared" si="1"/>
        <v>0.29899999999999999</v>
      </c>
      <c r="O18" s="98">
        <f>'SET SP Tarquí'!K17</f>
        <v>0.29899999999999999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>IF((C21),(C20-C21)/C20,"-")</f>
        <v>0.2166530768861816</v>
      </c>
      <c r="D19" s="10">
        <f t="shared" ref="D19:O19" si="2">IF((D21),(D20-D21)/D20,"-")</f>
        <v>-0.2217813170983611</v>
      </c>
      <c r="E19" s="10">
        <f t="shared" si="2"/>
        <v>0.31005884260760785</v>
      </c>
      <c r="F19" s="10" t="e">
        <f t="shared" si="2"/>
        <v>#DIV/0!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>
        <f t="shared" si="2"/>
        <v>-0.20551221877902628</v>
      </c>
      <c r="V19" s="7"/>
      <c r="W19" s="8"/>
      <c r="X19" s="8"/>
    </row>
    <row r="20" spans="1:24" ht="17.25" customHeight="1" x14ac:dyDescent="0.25">
      <c r="A20" s="269" t="s">
        <v>37</v>
      </c>
      <c r="B20" s="31" t="s">
        <v>141</v>
      </c>
      <c r="C20" s="20">
        <f>TARQUI2020!D$9</f>
        <v>41698</v>
      </c>
      <c r="D20" s="20">
        <f>TARQUI2020!E$9</f>
        <v>36793</v>
      </c>
      <c r="E20" s="20">
        <f>TARQUI2020!F$9</f>
        <v>43166</v>
      </c>
      <c r="F20" s="20">
        <f>TARQUI2020!G$9</f>
        <v>0</v>
      </c>
      <c r="G20" s="20">
        <f>TARQUI2020!H$9</f>
        <v>0</v>
      </c>
      <c r="H20" s="20">
        <f>TARQUI2020!I$9</f>
        <v>0</v>
      </c>
      <c r="I20" s="20">
        <f>TARQUI2020!J$9</f>
        <v>0</v>
      </c>
      <c r="J20" s="20">
        <f>TARQUI2020!K$9</f>
        <v>0</v>
      </c>
      <c r="K20" s="20">
        <f>TARQUI2020!L$9</f>
        <v>0</v>
      </c>
      <c r="L20" s="20">
        <f>TARQUI2020!M$9</f>
        <v>0</v>
      </c>
      <c r="M20" s="20">
        <f>TARQUI2020!N$9</f>
        <v>0</v>
      </c>
      <c r="N20" s="20">
        <f>TARQUI2020!O$9</f>
        <v>0</v>
      </c>
      <c r="O20" s="21">
        <f>SUM(C20:N20)</f>
        <v>121657</v>
      </c>
      <c r="V20" s="7"/>
      <c r="W20" s="8"/>
      <c r="X20" s="8"/>
    </row>
    <row r="21" spans="1:24" ht="17.25" customHeight="1" x14ac:dyDescent="0.25">
      <c r="A21" s="269"/>
      <c r="B21" s="31" t="s">
        <v>142</v>
      </c>
      <c r="C21" s="20">
        <f>TARQUI2020!D$10</f>
        <v>32664</v>
      </c>
      <c r="D21" s="20">
        <f>TARQUI2020!E$10</f>
        <v>44953</v>
      </c>
      <c r="E21" s="20">
        <f>TARQUI2020!F$10</f>
        <v>29782</v>
      </c>
      <c r="F21" s="20">
        <f>TARQUI2020!G$10</f>
        <v>39260</v>
      </c>
      <c r="G21" s="20">
        <f>TARQUI2020!H$10</f>
        <v>0</v>
      </c>
      <c r="H21" s="20">
        <f>TARQUI2020!I$10</f>
        <v>0</v>
      </c>
      <c r="I21" s="20">
        <f>TARQUI2020!J$10</f>
        <v>0</v>
      </c>
      <c r="J21" s="20">
        <f>TARQUI2020!K$10</f>
        <v>0</v>
      </c>
      <c r="K21" s="20">
        <f>TARQUI2020!L$10</f>
        <v>0</v>
      </c>
      <c r="L21" s="20">
        <f>TARQUI2020!M$10</f>
        <v>0</v>
      </c>
      <c r="M21" s="20">
        <f>TARQUI2020!N$10</f>
        <v>0</v>
      </c>
      <c r="N21" s="20">
        <f>TARQUI2020!O$10</f>
        <v>0</v>
      </c>
      <c r="O21" s="21">
        <f>SUM(C21:N21)</f>
        <v>146659</v>
      </c>
      <c r="V21" s="7"/>
      <c r="W21" s="8"/>
      <c r="X21" s="8"/>
    </row>
    <row r="22" spans="1:24" ht="12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Tarquí'!$G17</f>
        <v>Menor al 30%</v>
      </c>
      <c r="E24" s="261"/>
      <c r="F24" s="261"/>
      <c r="G24" s="262"/>
      <c r="H24" s="260" t="str">
        <f>'SET SP Tarquí'!$H17</f>
        <v>Entre el 30% y el 50%</v>
      </c>
      <c r="I24" s="261"/>
      <c r="J24" s="261"/>
      <c r="K24" s="262"/>
      <c r="L24" s="260" t="str">
        <f>'SET SP Tarquí'!$I17</f>
        <v>Mayor al 50%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20.2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9.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24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8.7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5" ht="19.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5" ht="17.2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5" ht="17.2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5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5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5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5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5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5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5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5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5" ht="15" x14ac:dyDescent="0.25">
      <c r="A44" s="18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4"/>
      <c r="O44" s="185"/>
    </row>
    <row r="45" spans="1:15" ht="15" x14ac:dyDescent="0.25">
      <c r="A45" s="182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4"/>
      <c r="O45" s="185"/>
    </row>
    <row r="46" spans="1:15" ht="15.75" thickBot="1" x14ac:dyDescent="0.3">
      <c r="A46" s="186"/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8"/>
    </row>
    <row r="47" spans="1:15" ht="5.25" customHeight="1" x14ac:dyDescent="0.25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</row>
    <row r="49" spans="17:17" ht="14.25" x14ac:dyDescent="0.2">
      <c r="Q49" s="40" t="s">
        <v>80</v>
      </c>
    </row>
    <row r="50" spans="17:17" ht="14.25" x14ac:dyDescent="0.2">
      <c r="Q50" s="40" t="s">
        <v>81</v>
      </c>
    </row>
    <row r="51" spans="17:17" ht="14.25" x14ac:dyDescent="0.2">
      <c r="Q51" s="40" t="s">
        <v>82</v>
      </c>
    </row>
    <row r="52" spans="17:17" ht="14.25" x14ac:dyDescent="0.2">
      <c r="Q52" s="40" t="s">
        <v>83</v>
      </c>
    </row>
    <row r="53" spans="17:17" ht="14.25" x14ac:dyDescent="0.2">
      <c r="Q53" s="40" t="s">
        <v>84</v>
      </c>
    </row>
    <row r="54" spans="17:17" ht="14.25" x14ac:dyDescent="0.2">
      <c r="Q54" s="40" t="s">
        <v>85</v>
      </c>
    </row>
    <row r="55" spans="17:17" ht="14.25" x14ac:dyDescent="0.2">
      <c r="Q55" s="40" t="s">
        <v>86</v>
      </c>
    </row>
    <row r="56" spans="17:17" ht="14.25" x14ac:dyDescent="0.2">
      <c r="Q56" s="40" t="s">
        <v>87</v>
      </c>
    </row>
    <row r="57" spans="17:17" ht="14.25" x14ac:dyDescent="0.2">
      <c r="Q57" s="40" t="s">
        <v>88</v>
      </c>
    </row>
    <row r="58" spans="17:17" ht="14.25" x14ac:dyDescent="0.2">
      <c r="Q58" s="40" t="s">
        <v>89</v>
      </c>
    </row>
    <row r="59" spans="17:17" ht="14.25" x14ac:dyDescent="0.2">
      <c r="Q59" s="40" t="s">
        <v>90</v>
      </c>
    </row>
    <row r="60" spans="17:17" ht="14.25" x14ac:dyDescent="0.2">
      <c r="Q60" s="40" t="s">
        <v>91</v>
      </c>
    </row>
    <row r="61" spans="17:17" ht="14.25" x14ac:dyDescent="0.2">
      <c r="Q61" s="40" t="s">
        <v>92</v>
      </c>
    </row>
    <row r="63" spans="17:17" x14ac:dyDescent="0.25">
      <c r="Q63" s="35">
        <v>0.3</v>
      </c>
    </row>
    <row r="64" spans="17:17" x14ac:dyDescent="0.25">
      <c r="Q64" s="35">
        <v>0.29899999999999999</v>
      </c>
    </row>
  </sheetData>
  <mergeCells count="82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40:M40"/>
    <mergeCell ref="A28:M28"/>
    <mergeCell ref="N28:O28"/>
    <mergeCell ref="A29:M29"/>
    <mergeCell ref="N29:O29"/>
    <mergeCell ref="A30:M30"/>
    <mergeCell ref="N30:O3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  <mergeCell ref="A31:M31"/>
    <mergeCell ref="N31:O31"/>
    <mergeCell ref="A32:M32"/>
    <mergeCell ref="N32:O32"/>
    <mergeCell ref="A33:M33"/>
    <mergeCell ref="N33:O33"/>
    <mergeCell ref="A47:O47"/>
    <mergeCell ref="A41:M41"/>
    <mergeCell ref="N41:O41"/>
    <mergeCell ref="A42:M42"/>
    <mergeCell ref="N42:O42"/>
    <mergeCell ref="A46:M46"/>
    <mergeCell ref="N46:O46"/>
    <mergeCell ref="A43:M43"/>
    <mergeCell ref="N43:O43"/>
    <mergeCell ref="A44:M44"/>
    <mergeCell ref="N44:O44"/>
    <mergeCell ref="A45:M45"/>
    <mergeCell ref="N45:O45"/>
  </mergeCells>
  <dataValidations count="1">
    <dataValidation type="list" allowBlank="1" showInputMessage="1" showErrorMessage="1" sqref="J11:O11" xr:uid="{00000000-0002-0000-0A00-000000000000}">
      <formula1>$Q$49:$Q$61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61"/>
  <sheetViews>
    <sheetView topLeftCell="A10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5703125" style="2" customWidth="1"/>
    <col min="17" max="18" width="7.5703125" style="2" hidden="1" customWidth="1"/>
    <col min="19" max="19" width="7.5703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.7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.7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Tarquí'!$B18</f>
        <v>Continuidad del servicio (Acueducto)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Tarquí'!F18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Tarquí'!A18</f>
        <v>IN11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36.75" customHeight="1" thickBot="1" x14ac:dyDescent="0.3">
      <c r="A11" s="220" t="str">
        <f>'SET SP Tarquí'!$C18</f>
        <v>Prestar el servico de acueducto en forma continua las 24 horas.</v>
      </c>
      <c r="B11" s="221"/>
      <c r="C11" s="221"/>
      <c r="D11" s="221"/>
      <c r="E11" s="14" t="s">
        <v>35</v>
      </c>
      <c r="F11" s="299" t="str">
        <f>'SET SP Tarquí'!$D18</f>
        <v>(720 - Horas sin servicio mensuales) / 720) * 100</v>
      </c>
      <c r="G11" s="301"/>
      <c r="H11" s="12">
        <f>$O18</f>
        <v>0.99</v>
      </c>
      <c r="I11" s="13" t="str">
        <f>'SET SP Tarquí'!$E18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+'10'!A15:O15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0.98</v>
      </c>
      <c r="D17" s="97">
        <f t="shared" si="0"/>
        <v>0.98</v>
      </c>
      <c r="E17" s="97">
        <f t="shared" si="0"/>
        <v>0.98</v>
      </c>
      <c r="F17" s="97">
        <f t="shared" si="0"/>
        <v>0.98</v>
      </c>
      <c r="G17" s="97">
        <f t="shared" si="0"/>
        <v>0.98</v>
      </c>
      <c r="H17" s="97">
        <f t="shared" si="0"/>
        <v>0.98</v>
      </c>
      <c r="I17" s="97">
        <f t="shared" si="0"/>
        <v>0.98</v>
      </c>
      <c r="J17" s="97">
        <f t="shared" si="0"/>
        <v>0.98</v>
      </c>
      <c r="K17" s="97">
        <f t="shared" si="0"/>
        <v>0.98</v>
      </c>
      <c r="L17" s="97">
        <f t="shared" si="0"/>
        <v>0.98</v>
      </c>
      <c r="M17" s="97">
        <f t="shared" si="0"/>
        <v>0.98</v>
      </c>
      <c r="N17" s="97">
        <f t="shared" si="0"/>
        <v>0.98</v>
      </c>
      <c r="O17" s="101">
        <f>'SET SP Tarquí'!J18</f>
        <v>0.98</v>
      </c>
      <c r="V17" s="7"/>
      <c r="W17" s="8"/>
      <c r="X17" s="8"/>
    </row>
    <row r="18" spans="1:24" ht="17.25" customHeight="1" x14ac:dyDescent="0.25">
      <c r="A18" s="263" t="str">
        <f>+'10'!A18:B18</f>
        <v>META  AÑO 2025</v>
      </c>
      <c r="B18" s="264"/>
      <c r="C18" s="97">
        <f t="shared" ref="C18:N18" si="1">$O$18</f>
        <v>0.99</v>
      </c>
      <c r="D18" s="97">
        <f t="shared" si="1"/>
        <v>0.99</v>
      </c>
      <c r="E18" s="97">
        <f t="shared" si="1"/>
        <v>0.99</v>
      </c>
      <c r="F18" s="97">
        <f t="shared" si="1"/>
        <v>0.99</v>
      </c>
      <c r="G18" s="97">
        <f t="shared" si="1"/>
        <v>0.99</v>
      </c>
      <c r="H18" s="97">
        <f t="shared" si="1"/>
        <v>0.99</v>
      </c>
      <c r="I18" s="97">
        <f t="shared" si="1"/>
        <v>0.99</v>
      </c>
      <c r="J18" s="97">
        <f t="shared" si="1"/>
        <v>0.99</v>
      </c>
      <c r="K18" s="97">
        <f t="shared" si="1"/>
        <v>0.99</v>
      </c>
      <c r="L18" s="97">
        <f t="shared" si="1"/>
        <v>0.99</v>
      </c>
      <c r="M18" s="97">
        <f t="shared" si="1"/>
        <v>0.99</v>
      </c>
      <c r="N18" s="97">
        <f t="shared" si="1"/>
        <v>0.99</v>
      </c>
      <c r="O18" s="101">
        <f>'SET SP Tarquí'!K18</f>
        <v>0.99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>IF(ISNUMBER(C20),(720-C20)/720,"-")</f>
        <v>1</v>
      </c>
      <c r="D19" s="10">
        <f t="shared" ref="D19:N19" si="2">IF(ISNUMBER(D20),(720-D20)/720,"-")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>
        <f t="shared" si="2"/>
        <v>1</v>
      </c>
      <c r="I19" s="10">
        <f t="shared" si="2"/>
        <v>1</v>
      </c>
      <c r="J19" s="10">
        <f t="shared" si="2"/>
        <v>1</v>
      </c>
      <c r="K19" s="10">
        <f t="shared" si="2"/>
        <v>1</v>
      </c>
      <c r="L19" s="10">
        <f t="shared" si="2"/>
        <v>1</v>
      </c>
      <c r="M19" s="10">
        <f t="shared" si="2"/>
        <v>1</v>
      </c>
      <c r="N19" s="10">
        <f t="shared" si="2"/>
        <v>1</v>
      </c>
      <c r="O19" s="11">
        <f>IF(ISNUMBER(O20),(720-O20)/720,"-")</f>
        <v>1</v>
      </c>
      <c r="V19" s="7"/>
      <c r="W19" s="8"/>
      <c r="X19" s="8"/>
    </row>
    <row r="20" spans="1:24" ht="16.5" customHeight="1" x14ac:dyDescent="0.25">
      <c r="A20" s="269" t="s">
        <v>37</v>
      </c>
      <c r="B20" s="31" t="s">
        <v>167</v>
      </c>
      <c r="C20" s="3">
        <f>+TARQUI2020!D39</f>
        <v>0</v>
      </c>
      <c r="D20" s="3">
        <f>+TARQUI2020!E39</f>
        <v>0</v>
      </c>
      <c r="E20" s="3">
        <f>+TARQUI2020!F39</f>
        <v>0</v>
      </c>
      <c r="F20" s="3">
        <f>+TARQUI2020!G39</f>
        <v>0</v>
      </c>
      <c r="G20" s="3">
        <f>+TARQUI2020!H39</f>
        <v>0</v>
      </c>
      <c r="H20" s="3">
        <f>+TARQUI2020!I39</f>
        <v>0</v>
      </c>
      <c r="I20" s="3">
        <f>+TARQUI2020!J39</f>
        <v>0</v>
      </c>
      <c r="J20" s="3">
        <f>+TARQUI2020!K39</f>
        <v>0</v>
      </c>
      <c r="K20" s="3">
        <f>+TARQUI2020!L39</f>
        <v>0</v>
      </c>
      <c r="L20" s="3">
        <f>+TARQUI2020!M39</f>
        <v>0</v>
      </c>
      <c r="M20" s="3">
        <f>+TARQUI2020!N39</f>
        <v>0</v>
      </c>
      <c r="N20" s="3">
        <f>+TARQUI2020!O39</f>
        <v>0</v>
      </c>
      <c r="O20" s="53">
        <f>AVERAGE(C20:N20)</f>
        <v>0</v>
      </c>
      <c r="V20" s="7"/>
      <c r="W20" s="8"/>
      <c r="X20" s="8"/>
    </row>
    <row r="21" spans="1:24" ht="13.5" customHeight="1" x14ac:dyDescent="0.25">
      <c r="A21" s="269"/>
      <c r="B21" s="62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4.2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4.2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Tarquí'!$G18</f>
        <v>Entre 80% y 100%</v>
      </c>
      <c r="E24" s="261"/>
      <c r="F24" s="261"/>
      <c r="G24" s="262"/>
      <c r="H24" s="260" t="str">
        <f>'SET SP Tarquí'!$H18</f>
        <v>Entre 60% y 79%</v>
      </c>
      <c r="I24" s="261"/>
      <c r="J24" s="261"/>
      <c r="K24" s="262"/>
      <c r="L24" s="260" t="str">
        <f>'SET SP Tarquí'!$I18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5.25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</v>
      </c>
    </row>
    <row r="61" spans="17:17" x14ac:dyDescent="0.25">
      <c r="Q61" s="9">
        <v>0.95</v>
      </c>
    </row>
  </sheetData>
  <mergeCells count="76"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44:O44"/>
    <mergeCell ref="A41:M41"/>
    <mergeCell ref="N41:O41"/>
    <mergeCell ref="A42:M42"/>
    <mergeCell ref="N42:O42"/>
    <mergeCell ref="A43:M43"/>
    <mergeCell ref="N43:O43"/>
  </mergeCells>
  <dataValidations disablePrompts="1" count="1">
    <dataValidation type="list" allowBlank="1" showInputMessage="1" showErrorMessage="1" sqref="J11:O11" xr:uid="{00000000-0002-0000-0B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19" width="6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6.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1.2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Tarquí'!$B19</f>
        <v>Continuidad del Servicio (Aseo)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Tarquí'!F19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Tarquí'!A19</f>
        <v>IN12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46.5" customHeight="1" thickBot="1" x14ac:dyDescent="0.3">
      <c r="A11" s="220" t="str">
        <f>'SET SP Tarquí'!$C19</f>
        <v>Recolectar los residuos solidos en los dias y rutas establecidas en el PGIRS.</v>
      </c>
      <c r="B11" s="221"/>
      <c r="C11" s="221"/>
      <c r="D11" s="221"/>
      <c r="E11" s="14" t="s">
        <v>35</v>
      </c>
      <c r="F11" s="299" t="str">
        <f>'SET SP Tarquí'!$D19</f>
        <v>Número de dias de recolección de residuos sólidos por semestre / 144</v>
      </c>
      <c r="G11" s="301"/>
      <c r="H11" s="12">
        <f>$O18</f>
        <v>1</v>
      </c>
      <c r="I11" s="13" t="str">
        <f>'SET SP Tarquí'!$E19</f>
        <v>Semestral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+'11'!A15:O15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1</v>
      </c>
      <c r="D17" s="97">
        <f t="shared" si="0"/>
        <v>1</v>
      </c>
      <c r="E17" s="97">
        <f t="shared" si="0"/>
        <v>1</v>
      </c>
      <c r="F17" s="97">
        <f t="shared" si="0"/>
        <v>1</v>
      </c>
      <c r="G17" s="97">
        <f t="shared" si="0"/>
        <v>1</v>
      </c>
      <c r="H17" s="97">
        <f t="shared" si="0"/>
        <v>1</v>
      </c>
      <c r="I17" s="97">
        <f t="shared" si="0"/>
        <v>1</v>
      </c>
      <c r="J17" s="97">
        <f t="shared" si="0"/>
        <v>1</v>
      </c>
      <c r="K17" s="97">
        <f t="shared" si="0"/>
        <v>1</v>
      </c>
      <c r="L17" s="97">
        <f t="shared" si="0"/>
        <v>1</v>
      </c>
      <c r="M17" s="97">
        <f t="shared" si="0"/>
        <v>1</v>
      </c>
      <c r="N17" s="97">
        <f t="shared" si="0"/>
        <v>1</v>
      </c>
      <c r="O17" s="101">
        <f>'SET SP Tarquí'!J19</f>
        <v>1</v>
      </c>
      <c r="V17" s="7"/>
      <c r="W17" s="8"/>
      <c r="X17" s="8"/>
    </row>
    <row r="18" spans="1:24" ht="17.25" customHeight="1" x14ac:dyDescent="0.25">
      <c r="A18" s="263" t="str">
        <f>+'11'!A18:B18</f>
        <v>META  AÑO 2025</v>
      </c>
      <c r="B18" s="264"/>
      <c r="C18" s="97">
        <f t="shared" ref="C18:N18" si="1">$O$18</f>
        <v>1</v>
      </c>
      <c r="D18" s="97">
        <f t="shared" si="1"/>
        <v>1</v>
      </c>
      <c r="E18" s="97">
        <f t="shared" si="1"/>
        <v>1</v>
      </c>
      <c r="F18" s="97">
        <f t="shared" si="1"/>
        <v>1</v>
      </c>
      <c r="G18" s="97">
        <f t="shared" si="1"/>
        <v>1</v>
      </c>
      <c r="H18" s="97">
        <f t="shared" si="1"/>
        <v>1</v>
      </c>
      <c r="I18" s="97">
        <f t="shared" si="1"/>
        <v>1</v>
      </c>
      <c r="J18" s="97">
        <f t="shared" si="1"/>
        <v>1</v>
      </c>
      <c r="K18" s="97">
        <f t="shared" si="1"/>
        <v>1</v>
      </c>
      <c r="L18" s="97">
        <f t="shared" si="1"/>
        <v>1</v>
      </c>
      <c r="M18" s="97">
        <f t="shared" si="1"/>
        <v>1</v>
      </c>
      <c r="N18" s="97">
        <f t="shared" si="1"/>
        <v>1</v>
      </c>
      <c r="O18" s="101">
        <f>'SET SP Tarquí'!K19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>IF(ISNUMBER(C20),C20/8,"-")</f>
        <v>1</v>
      </c>
      <c r="D19" s="10">
        <f t="shared" ref="D19:G19" si="2">IF(ISNUMBER(D20),D20/8,"-")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>
        <f t="shared" ref="H19" si="3">IF(ISNUMBER(H20),H20/8,"-")</f>
        <v>1</v>
      </c>
      <c r="I19" s="10" t="str">
        <f t="shared" ref="I19" si="4">IF(ISNUMBER(I20),I20/8,"-")</f>
        <v>-</v>
      </c>
      <c r="J19" s="10" t="str">
        <f t="shared" ref="J19" si="5">IF(ISNUMBER(J20),J20/8,"-")</f>
        <v>-</v>
      </c>
      <c r="K19" s="10" t="str">
        <f t="shared" ref="K19" si="6">IF(ISNUMBER(K20),K20/8,"-")</f>
        <v>-</v>
      </c>
      <c r="L19" s="10" t="str">
        <f t="shared" ref="L19" si="7">IF(ISNUMBER(L20),L20/8,"-")</f>
        <v>-</v>
      </c>
      <c r="M19" s="10" t="str">
        <f t="shared" ref="M19" si="8">IF(ISNUMBER(M20),M20/8,"-")</f>
        <v>-</v>
      </c>
      <c r="N19" s="10" t="str">
        <f t="shared" ref="N19" si="9">IF(ISNUMBER(N20),N20/8,"-")</f>
        <v>-</v>
      </c>
      <c r="O19" s="11">
        <f t="shared" ref="O19" si="10">IF((O20),O20/144,"-")</f>
        <v>0.33333333333333331</v>
      </c>
      <c r="V19" s="7"/>
      <c r="W19" s="8"/>
      <c r="X19" s="8"/>
    </row>
    <row r="20" spans="1:24" ht="21.75" customHeight="1" x14ac:dyDescent="0.25">
      <c r="A20" s="269" t="s">
        <v>37</v>
      </c>
      <c r="B20" s="31" t="s">
        <v>266</v>
      </c>
      <c r="C20" s="3">
        <v>8</v>
      </c>
      <c r="D20" s="3">
        <v>8</v>
      </c>
      <c r="E20" s="3">
        <v>8</v>
      </c>
      <c r="F20" s="3">
        <v>8</v>
      </c>
      <c r="G20" s="3">
        <v>8</v>
      </c>
      <c r="H20" s="3">
        <v>8</v>
      </c>
      <c r="I20" s="3"/>
      <c r="J20" s="3"/>
      <c r="K20" s="3"/>
      <c r="L20" s="3"/>
      <c r="M20" s="3"/>
      <c r="N20" s="3"/>
      <c r="O20" s="16">
        <f>SUM(C20:N20)</f>
        <v>48</v>
      </c>
      <c r="V20" s="7"/>
      <c r="W20" s="8"/>
      <c r="X20" s="8"/>
    </row>
    <row r="21" spans="1:24" ht="18" customHeight="1" x14ac:dyDescent="0.25">
      <c r="A21" s="269"/>
      <c r="B21" s="3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3.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Tarquí'!$G19</f>
        <v>Entre 91% y 100%</v>
      </c>
      <c r="E24" s="261"/>
      <c r="F24" s="261"/>
      <c r="G24" s="262"/>
      <c r="H24" s="260" t="str">
        <f>'SET SP Tarquí'!$H19</f>
        <v>Entre 71% y 90%</v>
      </c>
      <c r="I24" s="261"/>
      <c r="J24" s="261"/>
      <c r="K24" s="262"/>
      <c r="L24" s="260" t="str">
        <f>'SET SP Tarquí'!$I19</f>
        <v>Menor al 70%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5.25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44:O44"/>
    <mergeCell ref="A41:M41"/>
    <mergeCell ref="N41:O41"/>
    <mergeCell ref="A42:M42"/>
    <mergeCell ref="N42:O42"/>
    <mergeCell ref="A43:M43"/>
    <mergeCell ref="N43:O43"/>
  </mergeCells>
  <dataValidations count="1">
    <dataValidation type="list" allowBlank="1" showInputMessage="1" showErrorMessage="1" sqref="J11:O11" xr:uid="{00000000-0002-0000-0C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9.42578125" style="2" customWidth="1"/>
    <col min="17" max="17" width="8.5703125" style="2" hidden="1" customWidth="1"/>
    <col min="18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Tarquí'!$B20</f>
        <v>PQR en la prestación del servicio.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Tarquí'!F20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Tarquí'!A20</f>
        <v>IN13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48.75" customHeight="1" thickBot="1" x14ac:dyDescent="0.3">
      <c r="A11" s="220" t="str">
        <f>'SET SP Tarquí'!$C20</f>
        <v>Medir el grado de satisfación de los suscriptores en la prestación del servicio.</v>
      </c>
      <c r="B11" s="221"/>
      <c r="C11" s="221"/>
      <c r="D11" s="221"/>
      <c r="E11" s="14" t="s">
        <v>35</v>
      </c>
      <c r="F11" s="299" t="str">
        <f>'SET SP Tarquí'!$D20</f>
        <v xml:space="preserve">Número de PQR recibidas / número de suscriptores del servicio*100 </v>
      </c>
      <c r="G11" s="301"/>
      <c r="H11" s="12" t="str">
        <f>$O18</f>
        <v>&lt; 1%</v>
      </c>
      <c r="I11" s="13" t="str">
        <f>'SET SP Tarquí'!$E20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+'12'!A15:O15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 t="str">
        <f t="shared" ref="C17:N17" si="0">$O$17</f>
        <v>&lt; 1%</v>
      </c>
      <c r="D17" s="97" t="str">
        <f t="shared" si="0"/>
        <v>&lt; 1%</v>
      </c>
      <c r="E17" s="97" t="str">
        <f t="shared" si="0"/>
        <v>&lt; 1%</v>
      </c>
      <c r="F17" s="97" t="str">
        <f t="shared" si="0"/>
        <v>&lt; 1%</v>
      </c>
      <c r="G17" s="97" t="str">
        <f t="shared" si="0"/>
        <v>&lt; 1%</v>
      </c>
      <c r="H17" s="97" t="str">
        <f t="shared" si="0"/>
        <v>&lt; 1%</v>
      </c>
      <c r="I17" s="97" t="str">
        <f t="shared" si="0"/>
        <v>&lt; 1%</v>
      </c>
      <c r="J17" s="97" t="str">
        <f t="shared" si="0"/>
        <v>&lt; 1%</v>
      </c>
      <c r="K17" s="97" t="str">
        <f t="shared" si="0"/>
        <v>&lt; 1%</v>
      </c>
      <c r="L17" s="97" t="str">
        <f t="shared" si="0"/>
        <v>&lt; 1%</v>
      </c>
      <c r="M17" s="97" t="str">
        <f t="shared" si="0"/>
        <v>&lt; 1%</v>
      </c>
      <c r="N17" s="97" t="str">
        <f t="shared" si="0"/>
        <v>&lt; 1%</v>
      </c>
      <c r="O17" s="101" t="str">
        <f>'SET SP Tarquí'!J20</f>
        <v>&lt; 1%</v>
      </c>
      <c r="V17" s="7"/>
      <c r="W17" s="8"/>
      <c r="X17" s="8"/>
    </row>
    <row r="18" spans="1:24" ht="17.25" customHeight="1" x14ac:dyDescent="0.25">
      <c r="A18" s="263" t="str">
        <f>+'12'!A18:B18</f>
        <v>META  AÑO 2025</v>
      </c>
      <c r="B18" s="264"/>
      <c r="C18" s="97" t="str">
        <f t="shared" ref="C18:N18" si="1">$O$18</f>
        <v>&lt; 1%</v>
      </c>
      <c r="D18" s="97" t="str">
        <f t="shared" si="1"/>
        <v>&lt; 1%</v>
      </c>
      <c r="E18" s="97" t="str">
        <f t="shared" si="1"/>
        <v>&lt; 1%</v>
      </c>
      <c r="F18" s="97" t="str">
        <f t="shared" si="1"/>
        <v>&lt; 1%</v>
      </c>
      <c r="G18" s="97" t="str">
        <f t="shared" si="1"/>
        <v>&lt; 1%</v>
      </c>
      <c r="H18" s="97" t="str">
        <f t="shared" si="1"/>
        <v>&lt; 1%</v>
      </c>
      <c r="I18" s="97" t="str">
        <f t="shared" si="1"/>
        <v>&lt; 1%</v>
      </c>
      <c r="J18" s="97" t="str">
        <f t="shared" si="1"/>
        <v>&lt; 1%</v>
      </c>
      <c r="K18" s="97" t="str">
        <f t="shared" si="1"/>
        <v>&lt; 1%</v>
      </c>
      <c r="L18" s="97" t="str">
        <f t="shared" si="1"/>
        <v>&lt; 1%</v>
      </c>
      <c r="M18" s="97" t="str">
        <f t="shared" si="1"/>
        <v>&lt; 1%</v>
      </c>
      <c r="N18" s="97" t="str">
        <f t="shared" si="1"/>
        <v>&lt; 1%</v>
      </c>
      <c r="O18" s="101" t="str">
        <f>'SET SP Tarquí'!K20</f>
        <v>&lt; 1%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 t="shared" ref="C19:E19" si="2">IF((C21),C20/C21,"-")</f>
        <v>9.3414292386735165E-4</v>
      </c>
      <c r="D19" s="10">
        <f t="shared" si="2"/>
        <v>5.1401869158878505E-3</v>
      </c>
      <c r="E19" s="10">
        <f t="shared" si="2"/>
        <v>0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>
        <f t="shared" si="3"/>
        <v>1.5137401024685607E-3</v>
      </c>
      <c r="V19" s="7"/>
      <c r="W19" s="8"/>
      <c r="X19" s="8"/>
    </row>
    <row r="20" spans="1:24" ht="15" customHeight="1" x14ac:dyDescent="0.25">
      <c r="A20" s="269" t="s">
        <v>37</v>
      </c>
      <c r="B20" s="31" t="s">
        <v>163</v>
      </c>
      <c r="C20" s="20">
        <f>+TARQUI2020!D40</f>
        <v>2</v>
      </c>
      <c r="D20" s="20">
        <f>+TARQUI2020!E40</f>
        <v>11</v>
      </c>
      <c r="E20" s="20">
        <f>+TARQUI2020!F40</f>
        <v>0</v>
      </c>
      <c r="F20" s="20">
        <f>+TARQUI2020!G40</f>
        <v>0</v>
      </c>
      <c r="G20" s="20">
        <f>+TARQUI2020!H40</f>
        <v>0</v>
      </c>
      <c r="H20" s="20">
        <f>+TARQUI2020!I40</f>
        <v>0</v>
      </c>
      <c r="I20" s="20">
        <f>+TARQUI2020!J40</f>
        <v>0</v>
      </c>
      <c r="J20" s="20">
        <f>+TARQUI2020!K40</f>
        <v>0</v>
      </c>
      <c r="K20" s="20">
        <f>+TARQUI2020!L40</f>
        <v>0</v>
      </c>
      <c r="L20" s="20">
        <f>+TARQUI2020!M40</f>
        <v>0</v>
      </c>
      <c r="M20" s="20">
        <f>+TARQUI2020!N40</f>
        <v>0</v>
      </c>
      <c r="N20" s="20">
        <f>+TARQUI2020!O40</f>
        <v>0</v>
      </c>
      <c r="O20" s="21">
        <f>SUM(C20:N20)</f>
        <v>13</v>
      </c>
      <c r="V20" s="7"/>
      <c r="W20" s="8"/>
      <c r="X20" s="8"/>
    </row>
    <row r="21" spans="1:24" ht="12.75" customHeight="1" x14ac:dyDescent="0.25">
      <c r="A21" s="269"/>
      <c r="B21" s="31" t="s">
        <v>164</v>
      </c>
      <c r="C21" s="20">
        <f>+'05'!C20</f>
        <v>2141</v>
      </c>
      <c r="D21" s="20">
        <f>+'05'!D20</f>
        <v>2140</v>
      </c>
      <c r="E21" s="20">
        <f>+'05'!E20</f>
        <v>2150</v>
      </c>
      <c r="F21" s="20">
        <f>+'05'!F20</f>
        <v>2157</v>
      </c>
      <c r="G21" s="20">
        <f>+'05'!G20</f>
        <v>0</v>
      </c>
      <c r="H21" s="20">
        <f>+'05'!H20</f>
        <v>0</v>
      </c>
      <c r="I21" s="20">
        <f>+'05'!I20</f>
        <v>0</v>
      </c>
      <c r="J21" s="20">
        <f>+'05'!J20</f>
        <v>0</v>
      </c>
      <c r="K21" s="20">
        <f>+'05'!K20</f>
        <v>0</v>
      </c>
      <c r="L21" s="20">
        <f>+'05'!L20</f>
        <v>0</v>
      </c>
      <c r="M21" s="20">
        <f>+'05'!M20</f>
        <v>0</v>
      </c>
      <c r="N21" s="20">
        <f>+'05'!N20</f>
        <v>0</v>
      </c>
      <c r="O21" s="21">
        <f>SUM(C21:N21)</f>
        <v>8588</v>
      </c>
      <c r="V21" s="7"/>
      <c r="W21" s="8"/>
      <c r="X21" s="8"/>
    </row>
    <row r="22" spans="1:24" ht="12.7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Tarquí'!$G20</f>
        <v>Entre 0 y 10%</v>
      </c>
      <c r="E24" s="261"/>
      <c r="F24" s="261"/>
      <c r="G24" s="262"/>
      <c r="H24" s="260" t="str">
        <f>'SET SP Tarquí'!$H20</f>
        <v>Entre 11% y el 20%</v>
      </c>
      <c r="I24" s="261"/>
      <c r="J24" s="261"/>
      <c r="K24" s="262"/>
      <c r="L24" s="260" t="str">
        <f>'SET SP Tarquí'!$I20</f>
        <v>Mayor al 21%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5.25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51" t="s">
        <v>171</v>
      </c>
    </row>
    <row r="61" spans="17:17" x14ac:dyDescent="0.25">
      <c r="Q61" s="51" t="s">
        <v>172</v>
      </c>
    </row>
  </sheetData>
  <mergeCells count="76"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44:O44"/>
    <mergeCell ref="A41:M41"/>
    <mergeCell ref="N41:O41"/>
    <mergeCell ref="A42:M42"/>
    <mergeCell ref="N42:O42"/>
    <mergeCell ref="A43:M43"/>
    <mergeCell ref="N43:O43"/>
  </mergeCells>
  <dataValidations count="1">
    <dataValidation type="list" allowBlank="1" showInputMessage="1" showErrorMessage="1" sqref="J11:O11" xr:uid="{00000000-0002-0000-0D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X63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7109375" style="2" customWidth="1"/>
    <col min="17" max="18" width="6.7109375" style="2" hidden="1" customWidth="1"/>
    <col min="19" max="19" width="6.71093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.7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.7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.7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Tarquí'!$B21</f>
        <v>Disposición en Relleno Sanitario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Tarquí'!F21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Tarquí'!A21</f>
        <v>IN14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7" customHeight="1" thickBot="1" x14ac:dyDescent="0.3">
      <c r="A11" s="220" t="str">
        <f>'SET SP Tarquí'!$C21</f>
        <v>Disponer la totalidad de los residuos solidos recolectados en el sitio de disposición final.</v>
      </c>
      <c r="B11" s="221"/>
      <c r="C11" s="221"/>
      <c r="D11" s="221"/>
      <c r="E11" s="14" t="s">
        <v>35</v>
      </c>
      <c r="F11" s="299" t="str">
        <f>'SET SP Tarquí'!$D21</f>
        <v>(Residuos sólidos en relleno sanitario / Residuos sólidos producidos)     x 100    %</v>
      </c>
      <c r="G11" s="301"/>
      <c r="H11" s="12">
        <f>$O18</f>
        <v>1</v>
      </c>
      <c r="I11" s="13" t="str">
        <f>'SET SP Tarquí'!$E21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+'13'!A15:O15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0.95</v>
      </c>
      <c r="D17" s="97">
        <f t="shared" si="0"/>
        <v>0.95</v>
      </c>
      <c r="E17" s="97">
        <f t="shared" si="0"/>
        <v>0.95</v>
      </c>
      <c r="F17" s="97">
        <f t="shared" si="0"/>
        <v>0.95</v>
      </c>
      <c r="G17" s="97">
        <f t="shared" si="0"/>
        <v>0.95</v>
      </c>
      <c r="H17" s="97">
        <f t="shared" si="0"/>
        <v>0.95</v>
      </c>
      <c r="I17" s="97">
        <f t="shared" si="0"/>
        <v>0.95</v>
      </c>
      <c r="J17" s="97">
        <f t="shared" si="0"/>
        <v>0.95</v>
      </c>
      <c r="K17" s="97">
        <f t="shared" si="0"/>
        <v>0.95</v>
      </c>
      <c r="L17" s="97">
        <f t="shared" si="0"/>
        <v>0.95</v>
      </c>
      <c r="M17" s="97">
        <f t="shared" si="0"/>
        <v>0.95</v>
      </c>
      <c r="N17" s="97">
        <f t="shared" si="0"/>
        <v>0.95</v>
      </c>
      <c r="O17" s="101">
        <f>'SET SP Tarquí'!J21</f>
        <v>0.95</v>
      </c>
      <c r="V17" s="7"/>
      <c r="W17" s="8"/>
      <c r="X17" s="8"/>
    </row>
    <row r="18" spans="1:24" ht="17.25" customHeight="1" x14ac:dyDescent="0.25">
      <c r="A18" s="263" t="str">
        <f>+'13'!A18:B18</f>
        <v>META  AÑO 2025</v>
      </c>
      <c r="B18" s="264"/>
      <c r="C18" s="97">
        <f t="shared" ref="C18:N18" si="1">$O$18</f>
        <v>1</v>
      </c>
      <c r="D18" s="97">
        <f t="shared" si="1"/>
        <v>1</v>
      </c>
      <c r="E18" s="97">
        <f t="shared" si="1"/>
        <v>1</v>
      </c>
      <c r="F18" s="97">
        <f t="shared" si="1"/>
        <v>1</v>
      </c>
      <c r="G18" s="97">
        <f t="shared" si="1"/>
        <v>1</v>
      </c>
      <c r="H18" s="97">
        <f t="shared" si="1"/>
        <v>1</v>
      </c>
      <c r="I18" s="97">
        <f t="shared" si="1"/>
        <v>1</v>
      </c>
      <c r="J18" s="97">
        <f t="shared" si="1"/>
        <v>1</v>
      </c>
      <c r="K18" s="97">
        <f t="shared" si="1"/>
        <v>1</v>
      </c>
      <c r="L18" s="97">
        <f t="shared" si="1"/>
        <v>1</v>
      </c>
      <c r="M18" s="97">
        <f t="shared" si="1"/>
        <v>1</v>
      </c>
      <c r="N18" s="97">
        <f t="shared" si="1"/>
        <v>1</v>
      </c>
      <c r="O18" s="101">
        <f>'SET SP Tarquí'!K21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60" t="str">
        <f>IF(ISNUMBER(C21),C20/C21,"-")</f>
        <v>-</v>
      </c>
      <c r="D19" s="60" t="str">
        <f t="shared" ref="D19:N19" si="2">IF(ISNUMBER(D21),D20/D21,"-")</f>
        <v>-</v>
      </c>
      <c r="E19" s="60" t="str">
        <f t="shared" si="2"/>
        <v>-</v>
      </c>
      <c r="F19" s="60" t="str">
        <f t="shared" si="2"/>
        <v>-</v>
      </c>
      <c r="G19" s="60" t="str">
        <f t="shared" si="2"/>
        <v>-</v>
      </c>
      <c r="H19" s="60" t="str">
        <f t="shared" si="2"/>
        <v>-</v>
      </c>
      <c r="I19" s="60" t="str">
        <f t="shared" si="2"/>
        <v>-</v>
      </c>
      <c r="J19" s="60" t="str">
        <f t="shared" si="2"/>
        <v>-</v>
      </c>
      <c r="K19" s="60" t="str">
        <f t="shared" si="2"/>
        <v>-</v>
      </c>
      <c r="L19" s="60" t="str">
        <f t="shared" si="2"/>
        <v>-</v>
      </c>
      <c r="M19" s="60" t="str">
        <f t="shared" si="2"/>
        <v>-</v>
      </c>
      <c r="N19" s="60" t="str">
        <f t="shared" si="2"/>
        <v>-</v>
      </c>
      <c r="O19" s="61" t="str">
        <f>IF(ISNUMBER(O21),O20/O21,"-")</f>
        <v>-</v>
      </c>
      <c r="V19" s="7"/>
      <c r="W19" s="8"/>
      <c r="X19" s="8"/>
    </row>
    <row r="20" spans="1:24" ht="18" customHeight="1" x14ac:dyDescent="0.25">
      <c r="A20" s="269" t="s">
        <v>37</v>
      </c>
      <c r="B20" s="31" t="s">
        <v>143</v>
      </c>
      <c r="C20" s="3" t="str">
        <f>+'07'!C20</f>
        <v>119.54</v>
      </c>
      <c r="D20" s="3" t="str">
        <f>+'07'!D20</f>
        <v>102.71</v>
      </c>
      <c r="E20" s="3">
        <f>+'07'!E20</f>
        <v>0</v>
      </c>
      <c r="F20" s="3">
        <f>+'07'!F20</f>
        <v>0</v>
      </c>
      <c r="G20" s="3">
        <f>+'07'!G20</f>
        <v>0</v>
      </c>
      <c r="H20" s="3">
        <f>+'07'!H20</f>
        <v>0</v>
      </c>
      <c r="I20" s="3">
        <f>+'07'!I20</f>
        <v>0</v>
      </c>
      <c r="J20" s="3">
        <f>+'07'!J20</f>
        <v>0</v>
      </c>
      <c r="K20" s="3">
        <f>+'07'!K20</f>
        <v>0</v>
      </c>
      <c r="L20" s="3">
        <f>+'07'!L20</f>
        <v>0</v>
      </c>
      <c r="M20" s="3">
        <f>+'07'!M20</f>
        <v>0</v>
      </c>
      <c r="N20" s="3">
        <f>+'07'!N20</f>
        <v>0</v>
      </c>
      <c r="O20" s="16">
        <f>SUM(C20:N20)</f>
        <v>0</v>
      </c>
      <c r="V20" s="7"/>
      <c r="W20" s="8"/>
      <c r="X20" s="8"/>
    </row>
    <row r="21" spans="1:24" ht="16.5" customHeight="1" x14ac:dyDescent="0.25">
      <c r="A21" s="269"/>
      <c r="B21" s="31" t="s">
        <v>138</v>
      </c>
      <c r="C21" s="3" t="e">
        <f>+'07'!C21</f>
        <v>#DIV/0!</v>
      </c>
      <c r="D21" s="3" t="e">
        <f>+'07'!D21</f>
        <v>#DIV/0!</v>
      </c>
      <c r="E21" s="3" t="e">
        <f>+'07'!E21</f>
        <v>#DIV/0!</v>
      </c>
      <c r="F21" s="3" t="e">
        <f>+'07'!F21</f>
        <v>#DIV/0!</v>
      </c>
      <c r="G21" s="3" t="e">
        <f>+'07'!G21</f>
        <v>#DIV/0!</v>
      </c>
      <c r="H21" s="3" t="e">
        <f>+'07'!H21</f>
        <v>#DIV/0!</v>
      </c>
      <c r="I21" s="3" t="e">
        <f>+'07'!I21</f>
        <v>#DIV/0!</v>
      </c>
      <c r="J21" s="3" t="e">
        <f>+'07'!J21</f>
        <v>#DIV/0!</v>
      </c>
      <c r="K21" s="3" t="e">
        <f>+'07'!K21</f>
        <v>#DIV/0!</v>
      </c>
      <c r="L21" s="3" t="e">
        <f>+'07'!L21</f>
        <v>#DIV/0!</v>
      </c>
      <c r="M21" s="3" t="e">
        <f>+'07'!M21</f>
        <v>#DIV/0!</v>
      </c>
      <c r="N21" s="3" t="e">
        <f>+'07'!N21</f>
        <v>#DIV/0!</v>
      </c>
      <c r="O21" s="16" t="e">
        <f>SUM(C21:N21)</f>
        <v>#DIV/0!</v>
      </c>
      <c r="V21" s="7"/>
      <c r="W21" s="8"/>
      <c r="X21" s="8"/>
    </row>
    <row r="22" spans="1:24" ht="12.7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Tarquí'!$G21</f>
        <v>Entre 91% y 100%</v>
      </c>
      <c r="E24" s="261"/>
      <c r="F24" s="261"/>
      <c r="G24" s="262"/>
      <c r="H24" s="260" t="str">
        <f>'SET SP Tarquí'!$H21</f>
        <v>Entre 71% y 90%</v>
      </c>
      <c r="I24" s="261"/>
      <c r="J24" s="261"/>
      <c r="K24" s="262"/>
      <c r="L24" s="260" t="str">
        <f>'SET SP Tarquí'!$I21</f>
        <v>Menor al 70%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" x14ac:dyDescent="0.25">
      <c r="A44" s="18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4"/>
      <c r="O44" s="185"/>
    </row>
    <row r="45" spans="1:17" ht="15.75" thickBot="1" x14ac:dyDescent="0.3">
      <c r="A45" s="186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8"/>
    </row>
    <row r="46" spans="1:17" ht="5.25" customHeight="1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</row>
    <row r="48" spans="1:17" ht="14.25" x14ac:dyDescent="0.2">
      <c r="Q48" s="40" t="s">
        <v>80</v>
      </c>
    </row>
    <row r="49" spans="17:17" ht="14.25" x14ac:dyDescent="0.2">
      <c r="Q49" s="40" t="s">
        <v>81</v>
      </c>
    </row>
    <row r="50" spans="17:17" ht="14.25" x14ac:dyDescent="0.2">
      <c r="Q50" s="40" t="s">
        <v>82</v>
      </c>
    </row>
    <row r="51" spans="17:17" ht="14.25" x14ac:dyDescent="0.2">
      <c r="Q51" s="40" t="s">
        <v>83</v>
      </c>
    </row>
    <row r="52" spans="17:17" ht="14.25" x14ac:dyDescent="0.2">
      <c r="Q52" s="40" t="s">
        <v>84</v>
      </c>
    </row>
    <row r="53" spans="17:17" ht="14.25" x14ac:dyDescent="0.2">
      <c r="Q53" s="40" t="s">
        <v>85</v>
      </c>
    </row>
    <row r="54" spans="17:17" ht="14.25" x14ac:dyDescent="0.2">
      <c r="Q54" s="40" t="s">
        <v>86</v>
      </c>
    </row>
    <row r="55" spans="17:17" ht="14.25" x14ac:dyDescent="0.2">
      <c r="Q55" s="40" t="s">
        <v>87</v>
      </c>
    </row>
    <row r="56" spans="17:17" ht="14.25" x14ac:dyDescent="0.2">
      <c r="Q56" s="40" t="s">
        <v>88</v>
      </c>
    </row>
    <row r="57" spans="17:17" ht="14.25" x14ac:dyDescent="0.2">
      <c r="Q57" s="40" t="s">
        <v>89</v>
      </c>
    </row>
    <row r="58" spans="17:17" ht="14.25" x14ac:dyDescent="0.2">
      <c r="Q58" s="40" t="s">
        <v>90</v>
      </c>
    </row>
    <row r="59" spans="17:17" ht="14.25" x14ac:dyDescent="0.2">
      <c r="Q59" s="40" t="s">
        <v>91</v>
      </c>
    </row>
    <row r="60" spans="17:17" ht="14.25" x14ac:dyDescent="0.2">
      <c r="Q60" s="40" t="s">
        <v>92</v>
      </c>
    </row>
    <row r="62" spans="17:17" x14ac:dyDescent="0.25">
      <c r="Q62" s="9">
        <v>0.98</v>
      </c>
    </row>
    <row r="63" spans="17:17" x14ac:dyDescent="0.25">
      <c r="Q63" s="9">
        <v>1</v>
      </c>
    </row>
  </sheetData>
  <mergeCells count="80">
    <mergeCell ref="N40:O40"/>
    <mergeCell ref="A37:M37"/>
    <mergeCell ref="N37:O37"/>
    <mergeCell ref="A38:M38"/>
    <mergeCell ref="N38:O38"/>
    <mergeCell ref="A39:M39"/>
    <mergeCell ref="N39:O39"/>
    <mergeCell ref="A40:M40"/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A46:O46"/>
    <mergeCell ref="A41:M41"/>
    <mergeCell ref="N41:O41"/>
    <mergeCell ref="A42:M42"/>
    <mergeCell ref="N42:O42"/>
    <mergeCell ref="A45:M45"/>
    <mergeCell ref="N45:O45"/>
    <mergeCell ref="A43:M43"/>
    <mergeCell ref="N43:O43"/>
    <mergeCell ref="A44:M44"/>
    <mergeCell ref="N44:O44"/>
  </mergeCells>
  <dataValidations count="1">
    <dataValidation type="list" allowBlank="1" showInputMessage="1" showErrorMessage="1" sqref="J11:O11" xr:uid="{00000000-0002-0000-0E00-000000000000}">
      <formula1>$Q$48:$Q$60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94"/>
  <sheetViews>
    <sheetView showGridLines="0" workbookViewId="0">
      <selection activeCell="G70" sqref="G70"/>
    </sheetView>
  </sheetViews>
  <sheetFormatPr baseColWidth="10" defaultRowHeight="12.75" x14ac:dyDescent="0.2"/>
  <cols>
    <col min="1" max="1" width="3" style="65" customWidth="1"/>
    <col min="2" max="2" width="40.85546875" style="65" customWidth="1"/>
    <col min="3" max="3" width="9.85546875" style="65" bestFit="1" customWidth="1"/>
    <col min="4" max="5" width="13.85546875" style="54" bestFit="1" customWidth="1"/>
    <col min="6" max="9" width="11.28515625" style="54" customWidth="1"/>
    <col min="10" max="10" width="13.85546875" style="54" customWidth="1"/>
    <col min="11" max="15" width="11.28515625" style="54" customWidth="1"/>
    <col min="16" max="17" width="12.28515625" style="54" bestFit="1" customWidth="1"/>
    <col min="18" max="16384" width="11.42578125" style="54"/>
  </cols>
  <sheetData>
    <row r="1" spans="1:20" x14ac:dyDescent="0.2">
      <c r="A1" s="156" t="s">
        <v>179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20" ht="23.25" x14ac:dyDescent="0.35">
      <c r="A2" s="157" t="s">
        <v>180</v>
      </c>
      <c r="B2" s="158"/>
      <c r="C2" s="159"/>
      <c r="D2" s="159"/>
      <c r="E2" s="156" t="s">
        <v>181</v>
      </c>
      <c r="F2" s="160"/>
      <c r="G2" s="161" t="s">
        <v>249</v>
      </c>
      <c r="H2" s="161"/>
      <c r="I2" s="161"/>
      <c r="J2" s="161"/>
      <c r="K2" s="161"/>
    </row>
    <row r="4" spans="1:20" ht="23.25" customHeight="1" x14ac:dyDescent="0.2">
      <c r="A4" s="153" t="s">
        <v>182</v>
      </c>
      <c r="B4" s="153"/>
      <c r="C4" s="66" t="s">
        <v>183</v>
      </c>
      <c r="D4" s="67">
        <v>45658</v>
      </c>
      <c r="E4" s="67">
        <v>45689</v>
      </c>
      <c r="F4" s="67">
        <v>45717</v>
      </c>
      <c r="G4" s="67">
        <v>45748</v>
      </c>
      <c r="H4" s="67">
        <v>45778</v>
      </c>
      <c r="I4" s="67">
        <v>45809</v>
      </c>
      <c r="J4" s="67">
        <v>45839</v>
      </c>
      <c r="K4" s="67">
        <v>45870</v>
      </c>
      <c r="L4" s="67">
        <v>45901</v>
      </c>
      <c r="M4" s="67">
        <v>45931</v>
      </c>
      <c r="N4" s="67">
        <v>45962</v>
      </c>
      <c r="O4" s="67">
        <v>45992</v>
      </c>
      <c r="P4" s="57"/>
      <c r="Q4" s="57"/>
    </row>
    <row r="5" spans="1:20" x14ac:dyDescent="0.2">
      <c r="A5" s="137">
        <v>1</v>
      </c>
      <c r="B5" s="139" t="s">
        <v>184</v>
      </c>
      <c r="C5" s="140" t="s">
        <v>184</v>
      </c>
      <c r="D5" s="124"/>
      <c r="E5" s="124"/>
      <c r="F5" s="124"/>
      <c r="G5" s="124"/>
      <c r="H5" s="124"/>
      <c r="I5" s="113"/>
      <c r="J5" s="113"/>
      <c r="K5" s="113"/>
      <c r="L5" s="113"/>
      <c r="M5" s="113"/>
      <c r="N5" s="71"/>
      <c r="O5" s="71"/>
      <c r="P5" s="58"/>
      <c r="Q5" s="134"/>
    </row>
    <row r="6" spans="1:20" x14ac:dyDescent="0.2">
      <c r="A6" s="137">
        <v>2</v>
      </c>
      <c r="B6" s="139" t="s">
        <v>185</v>
      </c>
      <c r="C6" s="140" t="s">
        <v>186</v>
      </c>
      <c r="D6" s="124">
        <v>2141</v>
      </c>
      <c r="E6" s="124">
        <v>2140</v>
      </c>
      <c r="F6" s="124">
        <v>2150</v>
      </c>
      <c r="G6" s="124">
        <v>2157</v>
      </c>
      <c r="H6" s="124"/>
      <c r="I6" s="113"/>
      <c r="J6" s="113"/>
      <c r="K6" s="113"/>
      <c r="L6" s="113"/>
      <c r="M6" s="113"/>
      <c r="N6" s="72"/>
      <c r="O6" s="72"/>
      <c r="P6" s="58"/>
      <c r="Q6" s="134"/>
      <c r="R6" s="103"/>
    </row>
    <row r="7" spans="1:20" x14ac:dyDescent="0.2">
      <c r="A7" s="137">
        <v>3</v>
      </c>
      <c r="B7" s="139" t="s">
        <v>187</v>
      </c>
      <c r="C7" s="140" t="s">
        <v>186</v>
      </c>
      <c r="D7" s="124">
        <v>2047</v>
      </c>
      <c r="E7" s="124">
        <v>2046</v>
      </c>
      <c r="F7" s="124">
        <v>2055</v>
      </c>
      <c r="G7" s="124">
        <v>2061</v>
      </c>
      <c r="H7" s="124"/>
      <c r="I7" s="113"/>
      <c r="J7" s="113"/>
      <c r="K7" s="113"/>
      <c r="L7" s="113"/>
      <c r="M7" s="113"/>
      <c r="N7" s="71"/>
      <c r="O7" s="71"/>
      <c r="P7" s="115"/>
      <c r="Q7" s="134"/>
      <c r="R7" s="57"/>
      <c r="S7" s="57"/>
      <c r="T7" s="57"/>
    </row>
    <row r="8" spans="1:20" x14ac:dyDescent="0.2">
      <c r="A8" s="137">
        <v>4</v>
      </c>
      <c r="B8" s="139" t="s">
        <v>188</v>
      </c>
      <c r="C8" s="140" t="s">
        <v>186</v>
      </c>
      <c r="D8" s="124">
        <v>2090</v>
      </c>
      <c r="E8" s="124">
        <v>2088</v>
      </c>
      <c r="F8" s="124">
        <v>2093</v>
      </c>
      <c r="G8" s="124">
        <v>2097</v>
      </c>
      <c r="H8" s="124"/>
      <c r="I8" s="113"/>
      <c r="J8" s="113"/>
      <c r="K8" s="113"/>
      <c r="L8" s="113"/>
      <c r="M8" s="113"/>
      <c r="N8" s="72"/>
      <c r="O8" s="72"/>
      <c r="P8" s="115"/>
      <c r="Q8" s="134"/>
      <c r="R8" s="115"/>
      <c r="S8" s="57"/>
      <c r="T8" s="57"/>
    </row>
    <row r="9" spans="1:20" s="142" customFormat="1" ht="12" customHeight="1" x14ac:dyDescent="0.25">
      <c r="A9" s="138">
        <v>5</v>
      </c>
      <c r="B9" s="139" t="s">
        <v>189</v>
      </c>
      <c r="C9" s="140" t="s">
        <v>190</v>
      </c>
      <c r="D9" s="147">
        <v>41698</v>
      </c>
      <c r="E9" s="147">
        <v>36793</v>
      </c>
      <c r="F9" s="147">
        <v>43166</v>
      </c>
      <c r="G9" s="147"/>
      <c r="H9" s="147"/>
      <c r="I9" s="147"/>
      <c r="J9" s="147"/>
      <c r="K9" s="147"/>
      <c r="L9" s="148"/>
      <c r="M9" s="148"/>
      <c r="N9" s="149"/>
      <c r="O9" s="141"/>
      <c r="P9" s="117">
        <f>SUM(D9:O9)</f>
        <v>121657</v>
      </c>
      <c r="Q9" s="135"/>
      <c r="R9" s="135"/>
      <c r="S9" s="135"/>
      <c r="T9" s="135"/>
    </row>
    <row r="10" spans="1:20" x14ac:dyDescent="0.2">
      <c r="A10" s="73">
        <v>6</v>
      </c>
      <c r="B10" s="74" t="s">
        <v>191</v>
      </c>
      <c r="C10" s="75" t="s">
        <v>190</v>
      </c>
      <c r="D10" s="120">
        <f>28795+3869</f>
        <v>32664</v>
      </c>
      <c r="E10" s="120">
        <f>41227+3726</f>
        <v>44953</v>
      </c>
      <c r="F10" s="120">
        <f>26074+3708</f>
        <v>29782</v>
      </c>
      <c r="G10" s="120">
        <f>35550+3710</f>
        <v>39260</v>
      </c>
      <c r="H10" s="120"/>
      <c r="I10" s="76"/>
      <c r="J10" s="76"/>
      <c r="K10" s="76"/>
      <c r="L10" s="77"/>
      <c r="M10" s="77"/>
      <c r="N10" s="77"/>
      <c r="O10" s="76"/>
      <c r="P10" s="117">
        <f>SUM(D10:O10)</f>
        <v>146659</v>
      </c>
      <c r="Q10" s="136"/>
      <c r="R10" s="57"/>
      <c r="S10" s="57"/>
      <c r="T10" s="57"/>
    </row>
    <row r="11" spans="1:20" ht="12.75" customHeight="1" x14ac:dyDescent="0.25">
      <c r="A11" s="68">
        <v>7</v>
      </c>
      <c r="B11" s="69" t="s">
        <v>262</v>
      </c>
      <c r="C11" s="70" t="s">
        <v>192</v>
      </c>
      <c r="D11" s="147">
        <f>21412+4673+4611</f>
        <v>30696</v>
      </c>
      <c r="E11" s="147">
        <f>24206+9843+6578</f>
        <v>40627</v>
      </c>
      <c r="F11" s="147">
        <f>20416+3732+3394</f>
        <v>27542</v>
      </c>
      <c r="G11" s="147">
        <f>22371+6324+7825</f>
        <v>36520</v>
      </c>
      <c r="H11" s="147"/>
      <c r="I11" s="147"/>
      <c r="J11" s="147"/>
      <c r="K11" s="147"/>
      <c r="L11" s="148"/>
      <c r="M11" s="148"/>
      <c r="N11" s="77"/>
      <c r="O11" s="77"/>
      <c r="P11" s="117">
        <f>SUM(D11:O11)</f>
        <v>135385</v>
      </c>
      <c r="Q11" s="59"/>
    </row>
    <row r="12" spans="1:20" ht="12.75" hidden="1" customHeight="1" x14ac:dyDescent="0.2">
      <c r="A12" s="73">
        <v>8</v>
      </c>
      <c r="B12" s="74" t="s">
        <v>193</v>
      </c>
      <c r="C12" s="75" t="s">
        <v>192</v>
      </c>
      <c r="D12" s="120"/>
      <c r="E12" s="120"/>
      <c r="F12" s="120"/>
      <c r="G12" s="120"/>
      <c r="H12" s="120"/>
      <c r="I12" s="76"/>
      <c r="J12" s="76"/>
      <c r="K12" s="76"/>
      <c r="L12" s="78"/>
      <c r="M12" s="78"/>
      <c r="N12" s="78"/>
      <c r="O12" s="78"/>
      <c r="P12" s="59"/>
      <c r="Q12" s="59"/>
    </row>
    <row r="13" spans="1:20" ht="12.75" hidden="1" customHeight="1" x14ac:dyDescent="0.2">
      <c r="A13" s="68">
        <v>9</v>
      </c>
      <c r="B13" s="69" t="s">
        <v>194</v>
      </c>
      <c r="C13" s="70" t="s">
        <v>192</v>
      </c>
      <c r="D13" s="121"/>
      <c r="E13" s="121"/>
      <c r="F13" s="121"/>
      <c r="G13" s="121"/>
      <c r="H13" s="121"/>
      <c r="I13" s="71"/>
      <c r="J13" s="71"/>
      <c r="K13" s="71"/>
      <c r="L13" s="77"/>
      <c r="M13" s="77"/>
      <c r="N13" s="77"/>
      <c r="O13" s="77"/>
      <c r="P13" s="59"/>
      <c r="Q13" s="59"/>
    </row>
    <row r="14" spans="1:20" s="118" customFormat="1" x14ac:dyDescent="0.2">
      <c r="A14" s="73">
        <v>10</v>
      </c>
      <c r="B14" s="74" t="s">
        <v>195</v>
      </c>
      <c r="C14" s="75" t="s">
        <v>192</v>
      </c>
      <c r="D14" s="76">
        <f>6357443+17331645+424908+518000+79716+204984-668916-1340</f>
        <v>24246440</v>
      </c>
      <c r="E14" s="76">
        <f>6349326+25972764+329398+187902+51240+179361+204984-1435</f>
        <v>33273540</v>
      </c>
      <c r="F14" s="76">
        <f>6359181+15410826+441631+559089+31317+102480+119574+68328-1628</f>
        <v>23090798</v>
      </c>
      <c r="G14" s="76">
        <f>6377152+22077410+296801+640907+125268+34160+79716+102492-33000-1577</f>
        <v>29699329</v>
      </c>
      <c r="H14" s="120"/>
      <c r="I14" s="76"/>
      <c r="J14" s="76"/>
      <c r="K14" s="76"/>
      <c r="L14" s="76"/>
      <c r="M14" s="76"/>
      <c r="N14" s="76"/>
      <c r="O14" s="116"/>
      <c r="P14" s="117">
        <f>SUM(D14:O14)</f>
        <v>110310107</v>
      </c>
      <c r="Q14" s="117"/>
    </row>
    <row r="15" spans="1:20" x14ac:dyDescent="0.2">
      <c r="A15" s="68">
        <v>11</v>
      </c>
      <c r="B15" s="69" t="s">
        <v>196</v>
      </c>
      <c r="C15" s="70" t="s">
        <v>192</v>
      </c>
      <c r="D15" s="71">
        <f>46550+5254772+13055102+318970+296000+19929+34164-1323</f>
        <v>19024164</v>
      </c>
      <c r="E15" s="71">
        <f>4735328+18539750+256555+62634+17080+119574+68328-975</f>
        <v>23798274</v>
      </c>
      <c r="F15" s="71">
        <f>212360+5186443+11968406+377167+395453+31317+79716+34164-1275</f>
        <v>18283751</v>
      </c>
      <c r="G15" s="71"/>
      <c r="H15" s="71"/>
      <c r="I15" s="71"/>
      <c r="J15" s="71"/>
      <c r="K15" s="71"/>
      <c r="L15" s="71"/>
      <c r="M15" s="71"/>
      <c r="N15" s="113"/>
      <c r="O15" s="71"/>
      <c r="P15" s="117">
        <f t="shared" ref="P15:P19" si="0">SUM(D15:O15)</f>
        <v>61106189</v>
      </c>
      <c r="Q15" s="114"/>
    </row>
    <row r="16" spans="1:20" s="118" customFormat="1" ht="12" customHeight="1" x14ac:dyDescent="0.2">
      <c r="A16" s="73">
        <v>12</v>
      </c>
      <c r="B16" s="74" t="s">
        <v>197</v>
      </c>
      <c r="C16" s="75" t="s">
        <v>192</v>
      </c>
      <c r="D16" s="76">
        <f>3987330+11229659+343000</f>
        <v>15559989</v>
      </c>
      <c r="E16" s="76">
        <f>3981937+15982580</f>
        <v>19964517</v>
      </c>
      <c r="F16" s="76">
        <f>3992338+9729707+370209</f>
        <v>14092254</v>
      </c>
      <c r="G16" s="76">
        <f>4002736+14137551+370209</f>
        <v>18510496</v>
      </c>
      <c r="H16" s="120"/>
      <c r="I16" s="76"/>
      <c r="J16" s="76"/>
      <c r="K16" s="76"/>
      <c r="L16" s="76"/>
      <c r="M16" s="76"/>
      <c r="N16" s="76"/>
      <c r="O16" s="116"/>
      <c r="P16" s="117">
        <f t="shared" si="0"/>
        <v>68127256</v>
      </c>
      <c r="Q16" s="117"/>
    </row>
    <row r="17" spans="1:18" x14ac:dyDescent="0.2">
      <c r="A17" s="68">
        <v>13</v>
      </c>
      <c r="B17" s="69" t="s">
        <v>198</v>
      </c>
      <c r="C17" s="70" t="s">
        <v>192</v>
      </c>
      <c r="D17" s="71">
        <f>3287011+8285664+196000</f>
        <v>11768675</v>
      </c>
      <c r="E17" s="71">
        <f>2973829+12165447</f>
        <v>15139276</v>
      </c>
      <c r="F17" s="71">
        <f>3261203+7483407+261855</f>
        <v>11006465</v>
      </c>
      <c r="G17" s="71"/>
      <c r="H17" s="71"/>
      <c r="I17" s="71"/>
      <c r="J17" s="71"/>
      <c r="K17" s="71"/>
      <c r="L17" s="71"/>
      <c r="M17" s="71"/>
      <c r="N17" s="71"/>
      <c r="O17" s="71"/>
      <c r="P17" s="117">
        <f t="shared" si="0"/>
        <v>37914416</v>
      </c>
      <c r="Q17" s="114"/>
    </row>
    <row r="18" spans="1:18" s="118" customFormat="1" x14ac:dyDescent="0.2">
      <c r="A18" s="73">
        <v>14</v>
      </c>
      <c r="B18" s="74" t="s">
        <v>199</v>
      </c>
      <c r="C18" s="75" t="s">
        <v>192</v>
      </c>
      <c r="D18" s="76">
        <v>15865872</v>
      </c>
      <c r="E18" s="76">
        <v>15845068</v>
      </c>
      <c r="F18" s="76">
        <v>15866008</v>
      </c>
      <c r="G18" s="76">
        <v>15912074</v>
      </c>
      <c r="H18" s="120"/>
      <c r="I18" s="76"/>
      <c r="J18" s="76"/>
      <c r="K18" s="76"/>
      <c r="L18" s="76"/>
      <c r="M18" s="76"/>
      <c r="N18" s="76"/>
      <c r="O18" s="116"/>
      <c r="P18" s="117">
        <f t="shared" si="0"/>
        <v>63489022</v>
      </c>
      <c r="Q18" s="117"/>
    </row>
    <row r="19" spans="1:18" x14ac:dyDescent="0.2">
      <c r="A19" s="68">
        <v>15</v>
      </c>
      <c r="B19" s="69" t="s">
        <v>200</v>
      </c>
      <c r="C19" s="70" t="s">
        <v>192</v>
      </c>
      <c r="D19" s="79">
        <v>13128280</v>
      </c>
      <c r="E19" s="79">
        <v>11853914</v>
      </c>
      <c r="F19" s="79">
        <v>13009294</v>
      </c>
      <c r="G19" s="79"/>
      <c r="H19" s="79"/>
      <c r="I19" s="79"/>
      <c r="J19" s="79"/>
      <c r="K19" s="79"/>
      <c r="L19" s="79"/>
      <c r="M19" s="79"/>
      <c r="N19" s="79"/>
      <c r="O19" s="79"/>
      <c r="P19" s="117">
        <f t="shared" si="0"/>
        <v>37991488</v>
      </c>
      <c r="Q19" s="114"/>
    </row>
    <row r="20" spans="1:18" x14ac:dyDescent="0.2">
      <c r="A20" s="73">
        <v>16</v>
      </c>
      <c r="B20" s="74" t="s">
        <v>201</v>
      </c>
      <c r="C20" s="75"/>
      <c r="D20" s="76">
        <f>2365897+6630597+349509+74100+28600+110929+224328-271625+1205</f>
        <v>9513540</v>
      </c>
      <c r="E20" s="76">
        <f>1494326+5905819+320244+222000+28600+150787+360984+147000-336160-411450+776</f>
        <v>7882926</v>
      </c>
      <c r="F20" s="76">
        <f>1900134+8336319+302498+210398+153868+34160+190645+395148+98000-467109+153</f>
        <v>11154214</v>
      </c>
      <c r="G20" s="76">
        <f>1445619+4785687+305809+300034+59917+119560+190645+258492+108354-4112945-9</f>
        <v>3461163</v>
      </c>
      <c r="H20" s="120"/>
      <c r="I20" s="76"/>
      <c r="J20" s="76"/>
      <c r="K20" s="76"/>
      <c r="L20" s="76"/>
      <c r="M20" s="76"/>
      <c r="N20" s="76"/>
      <c r="O20" s="76"/>
      <c r="P20" s="114"/>
      <c r="Q20" s="114"/>
    </row>
    <row r="21" spans="1:18" x14ac:dyDescent="0.2">
      <c r="A21" s="68">
        <v>17</v>
      </c>
      <c r="B21" s="69" t="s">
        <v>202</v>
      </c>
      <c r="C21" s="70"/>
      <c r="D21" s="71">
        <f>1906022+4421276+96681+913</f>
        <v>6424892</v>
      </c>
      <c r="E21" s="71">
        <f>1199492+4894055+91923+11602+19929+102492-411450+573</f>
        <v>5908616</v>
      </c>
      <c r="F21" s="71">
        <f>1600739+6913995+60849+93951+17080+39858+170820-156600+212</f>
        <v>8740904</v>
      </c>
      <c r="G21" s="79"/>
      <c r="H21" s="79"/>
      <c r="I21" s="79"/>
      <c r="J21" s="79"/>
      <c r="K21" s="79"/>
      <c r="L21" s="79"/>
      <c r="M21" s="79"/>
      <c r="N21" s="79"/>
      <c r="O21" s="79"/>
      <c r="P21" s="114"/>
      <c r="Q21" s="114"/>
    </row>
    <row r="22" spans="1:18" x14ac:dyDescent="0.2">
      <c r="A22" s="73">
        <v>18</v>
      </c>
      <c r="B22" s="74" t="s">
        <v>203</v>
      </c>
      <c r="C22" s="75"/>
      <c r="D22" s="76">
        <f>1478493+4042113</f>
        <v>5520606</v>
      </c>
      <c r="E22" s="76">
        <f>941973+3614723</f>
        <v>4556696</v>
      </c>
      <c r="F22" s="76">
        <f>1194378+4435546</f>
        <v>5629924</v>
      </c>
      <c r="G22" s="76">
        <f>909693+2841527</f>
        <v>3751220</v>
      </c>
      <c r="H22" s="120"/>
      <c r="I22" s="76"/>
      <c r="J22" s="76"/>
      <c r="K22" s="76"/>
      <c r="L22" s="76"/>
      <c r="M22" s="76"/>
      <c r="N22" s="76"/>
      <c r="O22" s="76"/>
      <c r="P22" s="114"/>
      <c r="Q22" s="114"/>
    </row>
    <row r="23" spans="1:18" x14ac:dyDescent="0.2">
      <c r="A23" s="68">
        <v>19</v>
      </c>
      <c r="B23" s="69" t="s">
        <v>204</v>
      </c>
      <c r="C23" s="70"/>
      <c r="D23" s="71">
        <f>1208014+2842957</f>
        <v>4050971</v>
      </c>
      <c r="E23" s="71">
        <f>749925+2920366+49000</f>
        <v>3719291</v>
      </c>
      <c r="F23" s="71">
        <f>1015039+3905066+98000</f>
        <v>5018105</v>
      </c>
      <c r="G23" s="79"/>
      <c r="H23" s="79"/>
      <c r="I23" s="79"/>
      <c r="J23" s="79"/>
      <c r="K23" s="79"/>
      <c r="L23" s="79"/>
      <c r="M23" s="79"/>
      <c r="N23" s="79"/>
      <c r="O23" s="79"/>
      <c r="P23" s="114"/>
      <c r="Q23" s="114"/>
      <c r="R23" s="103">
        <f>+O15+O17+O19</f>
        <v>0</v>
      </c>
    </row>
    <row r="24" spans="1:18" x14ac:dyDescent="0.2">
      <c r="A24" s="73">
        <v>20</v>
      </c>
      <c r="B24" s="74" t="s">
        <v>205</v>
      </c>
      <c r="C24" s="75"/>
      <c r="D24" s="76">
        <v>5824489</v>
      </c>
      <c r="E24" s="76">
        <v>3625664</v>
      </c>
      <c r="F24" s="76">
        <v>4677707</v>
      </c>
      <c r="G24" s="76">
        <v>3559372</v>
      </c>
      <c r="H24" s="120"/>
      <c r="I24" s="76"/>
      <c r="J24" s="76"/>
      <c r="K24" s="76"/>
      <c r="L24" s="76"/>
      <c r="M24" s="76"/>
      <c r="N24" s="76"/>
      <c r="O24" s="76"/>
      <c r="P24" s="114"/>
      <c r="Q24" s="114"/>
      <c r="R24" s="103">
        <f>+O21+O23+O25</f>
        <v>0</v>
      </c>
    </row>
    <row r="25" spans="1:18" x14ac:dyDescent="0.2">
      <c r="A25" s="68">
        <v>21</v>
      </c>
      <c r="B25" s="69" t="s">
        <v>206</v>
      </c>
      <c r="C25" s="70"/>
      <c r="D25" s="122">
        <v>4836418</v>
      </c>
      <c r="E25" s="122">
        <v>2917395</v>
      </c>
      <c r="F25" s="122">
        <v>3981481</v>
      </c>
      <c r="G25" s="79"/>
      <c r="H25" s="79"/>
      <c r="I25" s="79"/>
      <c r="J25" s="79"/>
      <c r="K25" s="79"/>
      <c r="L25" s="79"/>
      <c r="M25" s="79"/>
      <c r="N25" s="79"/>
      <c r="O25" s="79"/>
      <c r="P25" s="114"/>
      <c r="Q25" s="114"/>
    </row>
    <row r="26" spans="1:18" x14ac:dyDescent="0.2">
      <c r="A26" s="73">
        <v>22</v>
      </c>
      <c r="B26" s="74" t="s">
        <v>207</v>
      </c>
      <c r="C26" s="75"/>
      <c r="D26" s="104">
        <f>D14+D20</f>
        <v>33759980</v>
      </c>
      <c r="E26" s="104">
        <f>E14+E20</f>
        <v>41156466</v>
      </c>
      <c r="F26" s="104">
        <f>F14+F20</f>
        <v>34245012</v>
      </c>
      <c r="G26" s="104">
        <f>G14+G20</f>
        <v>33160492</v>
      </c>
      <c r="H26" s="104">
        <f t="shared" ref="H26:I26" si="1">H14+H20</f>
        <v>0</v>
      </c>
      <c r="I26" s="104">
        <f t="shared" si="1"/>
        <v>0</v>
      </c>
      <c r="J26" s="104">
        <f>J14+J20</f>
        <v>0</v>
      </c>
      <c r="K26" s="104">
        <f t="shared" ref="K26" si="2">K14+K20</f>
        <v>0</v>
      </c>
      <c r="L26" s="104">
        <f t="shared" ref="L26:N31" si="3">+L14+L20</f>
        <v>0</v>
      </c>
      <c r="M26" s="104">
        <f t="shared" si="3"/>
        <v>0</v>
      </c>
      <c r="N26" s="104">
        <f>+N14+N20</f>
        <v>0</v>
      </c>
      <c r="O26" s="104">
        <f>O14+O20</f>
        <v>0</v>
      </c>
      <c r="P26" s="114"/>
      <c r="Q26" s="114"/>
    </row>
    <row r="27" spans="1:18" x14ac:dyDescent="0.2">
      <c r="A27" s="68">
        <v>23</v>
      </c>
      <c r="B27" s="69" t="s">
        <v>208</v>
      </c>
      <c r="C27" s="70"/>
      <c r="D27" s="104">
        <f t="shared" ref="D27:D31" si="4">D15+D21</f>
        <v>25449056</v>
      </c>
      <c r="E27" s="104">
        <f t="shared" ref="E27:F27" si="5">E15+E21</f>
        <v>29706890</v>
      </c>
      <c r="F27" s="104">
        <f t="shared" si="5"/>
        <v>27024655</v>
      </c>
      <c r="G27" s="104">
        <f>G15+G21</f>
        <v>0</v>
      </c>
      <c r="H27" s="104">
        <f t="shared" ref="H27:K27" si="6">H15+H21</f>
        <v>0</v>
      </c>
      <c r="I27" s="104">
        <f t="shared" si="6"/>
        <v>0</v>
      </c>
      <c r="J27" s="104">
        <f t="shared" si="6"/>
        <v>0</v>
      </c>
      <c r="K27" s="104">
        <f t="shared" si="6"/>
        <v>0</v>
      </c>
      <c r="L27" s="104">
        <f t="shared" si="3"/>
        <v>0</v>
      </c>
      <c r="M27" s="104">
        <f t="shared" si="3"/>
        <v>0</v>
      </c>
      <c r="N27" s="104">
        <f t="shared" si="3"/>
        <v>0</v>
      </c>
      <c r="O27" s="104">
        <f>+O15+O21</f>
        <v>0</v>
      </c>
      <c r="P27" s="114"/>
      <c r="Q27" s="114"/>
    </row>
    <row r="28" spans="1:18" x14ac:dyDescent="0.2">
      <c r="A28" s="73">
        <v>24</v>
      </c>
      <c r="B28" s="74" t="s">
        <v>209</v>
      </c>
      <c r="C28" s="75"/>
      <c r="D28" s="104">
        <f t="shared" si="4"/>
        <v>21080595</v>
      </c>
      <c r="E28" s="104">
        <f t="shared" ref="E28:F28" si="7">E16+E22</f>
        <v>24521213</v>
      </c>
      <c r="F28" s="104">
        <f t="shared" si="7"/>
        <v>19722178</v>
      </c>
      <c r="G28" s="104">
        <f>G16+G22</f>
        <v>22261716</v>
      </c>
      <c r="H28" s="104">
        <f t="shared" ref="H28:K28" si="8">H16+H22</f>
        <v>0</v>
      </c>
      <c r="I28" s="104">
        <f t="shared" si="8"/>
        <v>0</v>
      </c>
      <c r="J28" s="104">
        <f t="shared" si="8"/>
        <v>0</v>
      </c>
      <c r="K28" s="104">
        <f t="shared" si="8"/>
        <v>0</v>
      </c>
      <c r="L28" s="104">
        <f t="shared" si="3"/>
        <v>0</v>
      </c>
      <c r="M28" s="104">
        <f t="shared" si="3"/>
        <v>0</v>
      </c>
      <c r="N28" s="104">
        <f t="shared" si="3"/>
        <v>0</v>
      </c>
      <c r="O28" s="104">
        <f>+O16+O22</f>
        <v>0</v>
      </c>
      <c r="P28" s="114"/>
      <c r="Q28" s="114"/>
    </row>
    <row r="29" spans="1:18" x14ac:dyDescent="0.2">
      <c r="A29" s="68">
        <v>25</v>
      </c>
      <c r="B29" s="69" t="s">
        <v>210</v>
      </c>
      <c r="C29" s="70"/>
      <c r="D29" s="104">
        <f t="shared" si="4"/>
        <v>15819646</v>
      </c>
      <c r="E29" s="104">
        <f t="shared" ref="E29:K29" si="9">E17+E23</f>
        <v>18858567</v>
      </c>
      <c r="F29" s="104">
        <f t="shared" si="9"/>
        <v>16024570</v>
      </c>
      <c r="G29" s="104">
        <f t="shared" si="9"/>
        <v>0</v>
      </c>
      <c r="H29" s="104">
        <f t="shared" si="9"/>
        <v>0</v>
      </c>
      <c r="I29" s="104">
        <f t="shared" si="9"/>
        <v>0</v>
      </c>
      <c r="J29" s="104">
        <f t="shared" si="9"/>
        <v>0</v>
      </c>
      <c r="K29" s="104">
        <f t="shared" si="9"/>
        <v>0</v>
      </c>
      <c r="L29" s="104">
        <f t="shared" si="3"/>
        <v>0</v>
      </c>
      <c r="M29" s="104">
        <f t="shared" si="3"/>
        <v>0</v>
      </c>
      <c r="N29" s="104">
        <f t="shared" si="3"/>
        <v>0</v>
      </c>
      <c r="O29" s="104">
        <f>+O17+O23</f>
        <v>0</v>
      </c>
      <c r="P29" s="58"/>
      <c r="Q29" s="58"/>
    </row>
    <row r="30" spans="1:18" x14ac:dyDescent="0.2">
      <c r="A30" s="73">
        <v>26</v>
      </c>
      <c r="B30" s="74" t="s">
        <v>211</v>
      </c>
      <c r="C30" s="75"/>
      <c r="D30" s="104">
        <f t="shared" si="4"/>
        <v>21690361</v>
      </c>
      <c r="E30" s="104">
        <f t="shared" ref="E30:F30" si="10">E18+E24</f>
        <v>19470732</v>
      </c>
      <c r="F30" s="104">
        <f t="shared" si="10"/>
        <v>20543715</v>
      </c>
      <c r="G30" s="104">
        <f>G18+G24</f>
        <v>19471446</v>
      </c>
      <c r="H30" s="104">
        <f t="shared" ref="H30:K30" si="11">H18+H24</f>
        <v>0</v>
      </c>
      <c r="I30" s="104">
        <f t="shared" si="11"/>
        <v>0</v>
      </c>
      <c r="J30" s="104">
        <f t="shared" si="11"/>
        <v>0</v>
      </c>
      <c r="K30" s="104">
        <f t="shared" si="11"/>
        <v>0</v>
      </c>
      <c r="L30" s="104">
        <f t="shared" si="3"/>
        <v>0</v>
      </c>
      <c r="M30" s="104">
        <f t="shared" si="3"/>
        <v>0</v>
      </c>
      <c r="N30" s="104">
        <f t="shared" si="3"/>
        <v>0</v>
      </c>
      <c r="O30" s="104">
        <f>+O18+O24</f>
        <v>0</v>
      </c>
      <c r="P30" s="58"/>
      <c r="Q30" s="58"/>
    </row>
    <row r="31" spans="1:18" x14ac:dyDescent="0.2">
      <c r="A31" s="68">
        <v>27</v>
      </c>
      <c r="B31" s="69" t="s">
        <v>212</v>
      </c>
      <c r="C31" s="70"/>
      <c r="D31" s="104">
        <f t="shared" si="4"/>
        <v>17964698</v>
      </c>
      <c r="E31" s="104">
        <f t="shared" ref="E31:K31" si="12">E19+E25</f>
        <v>14771309</v>
      </c>
      <c r="F31" s="104">
        <f>F19+F25</f>
        <v>16990775</v>
      </c>
      <c r="G31" s="104">
        <f t="shared" si="12"/>
        <v>0</v>
      </c>
      <c r="H31" s="104">
        <f t="shared" si="12"/>
        <v>0</v>
      </c>
      <c r="I31" s="104">
        <f t="shared" si="12"/>
        <v>0</v>
      </c>
      <c r="J31" s="104">
        <f t="shared" si="12"/>
        <v>0</v>
      </c>
      <c r="K31" s="104">
        <f t="shared" si="12"/>
        <v>0</v>
      </c>
      <c r="L31" s="104">
        <f t="shared" si="3"/>
        <v>0</v>
      </c>
      <c r="M31" s="104">
        <f t="shared" si="3"/>
        <v>0</v>
      </c>
      <c r="N31" s="104">
        <f t="shared" si="3"/>
        <v>0</v>
      </c>
      <c r="O31" s="104">
        <f>+O19+O25</f>
        <v>0</v>
      </c>
      <c r="P31" s="58"/>
      <c r="Q31" s="58"/>
    </row>
    <row r="32" spans="1:18" s="130" customFormat="1" x14ac:dyDescent="0.2">
      <c r="A32" s="125">
        <v>28</v>
      </c>
      <c r="B32" s="126" t="s">
        <v>213</v>
      </c>
      <c r="C32" s="127" t="s">
        <v>192</v>
      </c>
      <c r="D32" s="128">
        <f t="shared" ref="D32:O33" si="13">+D26+D28+D30</f>
        <v>76530936</v>
      </c>
      <c r="E32" s="128">
        <f t="shared" ref="E32:F32" si="14">+E26+E28+E30</f>
        <v>85148411</v>
      </c>
      <c r="F32" s="128">
        <f t="shared" si="14"/>
        <v>74510905</v>
      </c>
      <c r="G32" s="128">
        <f>+G26+G28+G30</f>
        <v>74893654</v>
      </c>
      <c r="H32" s="128">
        <f t="shared" ref="H32:I32" si="15">+H26+H28+H30</f>
        <v>0</v>
      </c>
      <c r="I32" s="128">
        <f t="shared" si="15"/>
        <v>0</v>
      </c>
      <c r="J32" s="128">
        <f>+J26+J28+J30</f>
        <v>0</v>
      </c>
      <c r="K32" s="128">
        <f t="shared" ref="K32" si="16">+K26+K28+K30</f>
        <v>0</v>
      </c>
      <c r="L32" s="128">
        <f t="shared" si="13"/>
        <v>0</v>
      </c>
      <c r="M32" s="128">
        <f t="shared" si="13"/>
        <v>0</v>
      </c>
      <c r="N32" s="128">
        <f t="shared" si="13"/>
        <v>0</v>
      </c>
      <c r="O32" s="128">
        <f t="shared" si="13"/>
        <v>0</v>
      </c>
      <c r="P32" s="129"/>
      <c r="Q32" s="129"/>
    </row>
    <row r="33" spans="1:17" s="130" customFormat="1" x14ac:dyDescent="0.2">
      <c r="A33" s="131">
        <v>29</v>
      </c>
      <c r="B33" s="132" t="s">
        <v>214</v>
      </c>
      <c r="C33" s="133" t="s">
        <v>192</v>
      </c>
      <c r="D33" s="128">
        <f t="shared" si="13"/>
        <v>59233400</v>
      </c>
      <c r="E33" s="128">
        <f t="shared" ref="E33:F33" si="17">+E27+E29+E31</f>
        <v>63336766</v>
      </c>
      <c r="F33" s="128">
        <f t="shared" si="17"/>
        <v>60040000</v>
      </c>
      <c r="G33" s="128">
        <f>+G27+G29+G31</f>
        <v>0</v>
      </c>
      <c r="H33" s="128">
        <f t="shared" ref="H33" si="18">+H27+H29+H31</f>
        <v>0</v>
      </c>
      <c r="I33" s="128">
        <f>+I27+I29+I31</f>
        <v>0</v>
      </c>
      <c r="J33" s="128">
        <f t="shared" ref="J33:K33" si="19">+J27+J29+J31</f>
        <v>0</v>
      </c>
      <c r="K33" s="128">
        <f t="shared" si="19"/>
        <v>0</v>
      </c>
      <c r="L33" s="128">
        <f t="shared" ref="L33:O33" si="20">+L31+L29+L27</f>
        <v>0</v>
      </c>
      <c r="M33" s="128">
        <f t="shared" si="20"/>
        <v>0</v>
      </c>
      <c r="N33" s="128">
        <f>+N31+N29+N27</f>
        <v>0</v>
      </c>
      <c r="O33" s="128">
        <f t="shared" si="20"/>
        <v>0</v>
      </c>
      <c r="P33" s="129"/>
      <c r="Q33" s="129"/>
    </row>
    <row r="34" spans="1:17" ht="12.75" customHeight="1" x14ac:dyDescent="0.2">
      <c r="A34" s="73">
        <v>30</v>
      </c>
      <c r="B34" s="74" t="s">
        <v>215</v>
      </c>
      <c r="C34" s="75" t="s">
        <v>216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145"/>
      <c r="Q34" s="56"/>
    </row>
    <row r="35" spans="1:17" x14ac:dyDescent="0.2">
      <c r="A35" s="68">
        <v>31</v>
      </c>
      <c r="B35" s="69" t="s">
        <v>260</v>
      </c>
      <c r="C35" s="70" t="s">
        <v>216</v>
      </c>
      <c r="D35" s="111"/>
      <c r="E35" s="111"/>
      <c r="F35" s="111"/>
      <c r="G35" s="111"/>
      <c r="H35" s="111"/>
      <c r="I35" s="111"/>
      <c r="J35" s="109"/>
      <c r="K35" s="109"/>
      <c r="L35" s="109"/>
      <c r="M35" s="81"/>
      <c r="N35" s="109"/>
      <c r="O35" s="81"/>
      <c r="P35" s="56"/>
      <c r="Q35" s="56"/>
    </row>
    <row r="36" spans="1:17" x14ac:dyDescent="0.2">
      <c r="A36" s="73">
        <v>32</v>
      </c>
      <c r="B36" s="74" t="s">
        <v>217</v>
      </c>
      <c r="C36" s="75"/>
      <c r="D36" s="152" t="s">
        <v>268</v>
      </c>
      <c r="E36" s="152" t="s">
        <v>269</v>
      </c>
      <c r="F36" s="146"/>
      <c r="G36" s="146"/>
      <c r="H36" s="146"/>
      <c r="I36" s="146"/>
      <c r="J36" s="146"/>
      <c r="K36" s="112"/>
      <c r="L36" s="82"/>
      <c r="M36" s="112"/>
      <c r="N36" s="82"/>
      <c r="O36" s="82"/>
      <c r="P36" s="119">
        <f>SUM(D36:O36)</f>
        <v>0</v>
      </c>
    </row>
    <row r="37" spans="1:17" x14ac:dyDescent="0.2">
      <c r="A37" s="68">
        <v>33</v>
      </c>
      <c r="B37" s="69" t="s">
        <v>133</v>
      </c>
      <c r="C37" s="70"/>
      <c r="D37" s="105">
        <f>+D32-D33</f>
        <v>17297536</v>
      </c>
      <c r="E37" s="105">
        <f t="shared" ref="E37:O37" si="21">+E32-E33</f>
        <v>21811645</v>
      </c>
      <c r="F37" s="105">
        <f t="shared" si="21"/>
        <v>14470905</v>
      </c>
      <c r="G37" s="105">
        <f t="shared" si="21"/>
        <v>74893654</v>
      </c>
      <c r="H37" s="105">
        <f t="shared" si="21"/>
        <v>0</v>
      </c>
      <c r="I37" s="105">
        <f t="shared" si="21"/>
        <v>0</v>
      </c>
      <c r="J37" s="105">
        <f t="shared" si="21"/>
        <v>0</v>
      </c>
      <c r="K37" s="105">
        <f t="shared" si="21"/>
        <v>0</v>
      </c>
      <c r="L37" s="105">
        <f t="shared" si="21"/>
        <v>0</v>
      </c>
      <c r="M37" s="105">
        <f t="shared" si="21"/>
        <v>0</v>
      </c>
      <c r="N37" s="105">
        <f t="shared" si="21"/>
        <v>0</v>
      </c>
      <c r="O37" s="105">
        <f t="shared" si="21"/>
        <v>0</v>
      </c>
    </row>
    <row r="38" spans="1:17" x14ac:dyDescent="0.2">
      <c r="A38" s="73">
        <v>34</v>
      </c>
      <c r="B38" s="74" t="s">
        <v>139</v>
      </c>
      <c r="C38" s="75"/>
      <c r="D38" s="123">
        <v>1941</v>
      </c>
      <c r="E38" s="123">
        <v>1948</v>
      </c>
      <c r="F38" s="123">
        <v>1963</v>
      </c>
      <c r="G38" s="123">
        <v>1973</v>
      </c>
      <c r="H38" s="80"/>
      <c r="I38" s="80"/>
      <c r="J38" s="80"/>
      <c r="K38" s="82"/>
      <c r="L38" s="82"/>
      <c r="M38" s="82"/>
      <c r="N38" s="82"/>
      <c r="O38" s="82"/>
      <c r="P38" s="151" t="e">
        <f>+O38/O6</f>
        <v>#DIV/0!</v>
      </c>
    </row>
    <row r="39" spans="1:17" x14ac:dyDescent="0.2">
      <c r="A39" s="68">
        <v>35</v>
      </c>
      <c r="B39" s="69" t="s">
        <v>258</v>
      </c>
      <c r="C39" s="7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</row>
    <row r="40" spans="1:17" x14ac:dyDescent="0.2">
      <c r="A40" s="73">
        <v>36</v>
      </c>
      <c r="B40" s="74" t="s">
        <v>259</v>
      </c>
      <c r="C40" s="75"/>
      <c r="D40" s="80">
        <v>2</v>
      </c>
      <c r="E40" s="80">
        <v>11</v>
      </c>
      <c r="F40" s="80"/>
      <c r="G40" s="80"/>
      <c r="H40" s="80"/>
      <c r="I40" s="80"/>
      <c r="J40" s="82"/>
      <c r="K40" s="82"/>
      <c r="L40" s="82"/>
      <c r="M40" s="110"/>
      <c r="N40" s="82"/>
      <c r="O40" s="82"/>
    </row>
    <row r="41" spans="1:17" x14ac:dyDescent="0.2">
      <c r="A41" s="68"/>
      <c r="B41" s="69"/>
      <c r="C41" s="70"/>
      <c r="D41" s="81"/>
      <c r="E41" s="81"/>
      <c r="F41" s="81"/>
      <c r="G41" s="81"/>
      <c r="H41" s="81"/>
      <c r="I41" s="81"/>
      <c r="J41" s="81"/>
      <c r="K41" s="83"/>
      <c r="L41" s="83"/>
      <c r="M41" s="83"/>
      <c r="N41" s="83"/>
      <c r="O41" s="83"/>
      <c r="P41" s="55"/>
      <c r="Q41" s="55"/>
    </row>
    <row r="42" spans="1:17" x14ac:dyDescent="0.2">
      <c r="A42" s="73"/>
      <c r="B42" s="74" t="s">
        <v>32</v>
      </c>
      <c r="C42" s="84"/>
      <c r="D42" s="85">
        <f>+D4</f>
        <v>45658</v>
      </c>
      <c r="E42" s="85">
        <f t="shared" ref="E42:O42" si="22">+E4</f>
        <v>45689</v>
      </c>
      <c r="F42" s="85">
        <f t="shared" si="22"/>
        <v>45717</v>
      </c>
      <c r="G42" s="85">
        <f t="shared" si="22"/>
        <v>45748</v>
      </c>
      <c r="H42" s="85">
        <f t="shared" si="22"/>
        <v>45778</v>
      </c>
      <c r="I42" s="85">
        <f t="shared" si="22"/>
        <v>45809</v>
      </c>
      <c r="J42" s="85">
        <f t="shared" si="22"/>
        <v>45839</v>
      </c>
      <c r="K42" s="85">
        <f t="shared" si="22"/>
        <v>45870</v>
      </c>
      <c r="L42" s="85">
        <f t="shared" si="22"/>
        <v>45901</v>
      </c>
      <c r="M42" s="85">
        <f t="shared" si="22"/>
        <v>45931</v>
      </c>
      <c r="N42" s="85">
        <f t="shared" si="22"/>
        <v>45962</v>
      </c>
      <c r="O42" s="85">
        <f t="shared" si="22"/>
        <v>45992</v>
      </c>
    </row>
    <row r="43" spans="1:17" x14ac:dyDescent="0.2">
      <c r="A43" s="68"/>
      <c r="B43" s="69" t="s">
        <v>218</v>
      </c>
      <c r="C43" s="86"/>
      <c r="D43" s="105">
        <f>+D14+D16+D18</f>
        <v>55672301</v>
      </c>
      <c r="E43" s="105">
        <f t="shared" ref="D43:O44" si="23">+E14+E16+E18</f>
        <v>69083125</v>
      </c>
      <c r="F43" s="105">
        <f t="shared" si="23"/>
        <v>53049060</v>
      </c>
      <c r="G43" s="105">
        <f t="shared" si="23"/>
        <v>64121899</v>
      </c>
      <c r="H43" s="105">
        <f>+H14+H16+H18</f>
        <v>0</v>
      </c>
      <c r="I43" s="105">
        <f>+I14+I16+I18</f>
        <v>0</v>
      </c>
      <c r="J43" s="105">
        <f>+J14+J16+J18</f>
        <v>0</v>
      </c>
      <c r="K43" s="105">
        <f t="shared" ref="K43:M43" si="24">+K14+K16+K18</f>
        <v>0</v>
      </c>
      <c r="L43" s="105">
        <f t="shared" si="24"/>
        <v>0</v>
      </c>
      <c r="M43" s="105">
        <f t="shared" si="24"/>
        <v>0</v>
      </c>
      <c r="N43" s="105">
        <f>+N15+N16+N18</f>
        <v>0</v>
      </c>
      <c r="O43" s="105">
        <f>+O14+O16+O18</f>
        <v>0</v>
      </c>
    </row>
    <row r="44" spans="1:17" x14ac:dyDescent="0.2">
      <c r="A44" s="73"/>
      <c r="B44" s="74" t="s">
        <v>219</v>
      </c>
      <c r="C44" s="75"/>
      <c r="D44" s="105">
        <f t="shared" si="23"/>
        <v>43921119</v>
      </c>
      <c r="E44" s="105">
        <f t="shared" si="23"/>
        <v>50791464</v>
      </c>
      <c r="F44" s="105">
        <f t="shared" si="23"/>
        <v>42299510</v>
      </c>
      <c r="G44" s="105">
        <f t="shared" si="23"/>
        <v>0</v>
      </c>
      <c r="H44" s="105">
        <f t="shared" si="23"/>
        <v>0</v>
      </c>
      <c r="I44" s="105">
        <f t="shared" si="23"/>
        <v>0</v>
      </c>
      <c r="J44" s="105">
        <f t="shared" si="23"/>
        <v>0</v>
      </c>
      <c r="K44" s="105">
        <f t="shared" si="23"/>
        <v>0</v>
      </c>
      <c r="L44" s="105">
        <f t="shared" si="23"/>
        <v>0</v>
      </c>
      <c r="M44" s="105">
        <f t="shared" si="23"/>
        <v>0</v>
      </c>
      <c r="N44" s="105">
        <f t="shared" si="23"/>
        <v>0</v>
      </c>
      <c r="O44" s="105">
        <f t="shared" si="23"/>
        <v>0</v>
      </c>
    </row>
    <row r="45" spans="1:17" x14ac:dyDescent="0.2">
      <c r="A45" s="68"/>
      <c r="B45" s="69"/>
      <c r="C45" s="70"/>
      <c r="D45" s="85">
        <f>+D4</f>
        <v>45658</v>
      </c>
      <c r="E45" s="85">
        <f t="shared" ref="E45:O45" si="25">+E4</f>
        <v>45689</v>
      </c>
      <c r="F45" s="85">
        <f t="shared" si="25"/>
        <v>45717</v>
      </c>
      <c r="G45" s="85">
        <f t="shared" si="25"/>
        <v>45748</v>
      </c>
      <c r="H45" s="85">
        <f t="shared" si="25"/>
        <v>45778</v>
      </c>
      <c r="I45" s="85">
        <f t="shared" si="25"/>
        <v>45809</v>
      </c>
      <c r="J45" s="85">
        <f t="shared" si="25"/>
        <v>45839</v>
      </c>
      <c r="K45" s="85">
        <f t="shared" si="25"/>
        <v>45870</v>
      </c>
      <c r="L45" s="85">
        <f t="shared" si="25"/>
        <v>45901</v>
      </c>
      <c r="M45" s="85">
        <f t="shared" si="25"/>
        <v>45931</v>
      </c>
      <c r="N45" s="85">
        <f t="shared" si="25"/>
        <v>45962</v>
      </c>
      <c r="O45" s="85">
        <f t="shared" si="25"/>
        <v>45992</v>
      </c>
    </row>
    <row r="46" spans="1:17" x14ac:dyDescent="0.2">
      <c r="A46" s="73"/>
      <c r="B46" s="74" t="s">
        <v>220</v>
      </c>
      <c r="C46" s="75"/>
      <c r="D46" s="105">
        <f t="shared" ref="D46:N47" si="26">+D20+D22+D24</f>
        <v>20858635</v>
      </c>
      <c r="E46" s="105">
        <f t="shared" si="26"/>
        <v>16065286</v>
      </c>
      <c r="F46" s="105">
        <f t="shared" si="26"/>
        <v>21461845</v>
      </c>
      <c r="G46" s="105">
        <f t="shared" si="26"/>
        <v>10771755</v>
      </c>
      <c r="H46" s="105">
        <f t="shared" si="26"/>
        <v>0</v>
      </c>
      <c r="I46" s="105">
        <f t="shared" si="26"/>
        <v>0</v>
      </c>
      <c r="J46" s="105">
        <f t="shared" si="26"/>
        <v>0</v>
      </c>
      <c r="K46" s="105">
        <f t="shared" si="26"/>
        <v>0</v>
      </c>
      <c r="L46" s="105">
        <f t="shared" si="26"/>
        <v>0</v>
      </c>
      <c r="M46" s="105">
        <f t="shared" si="26"/>
        <v>0</v>
      </c>
      <c r="N46" s="105">
        <f t="shared" si="26"/>
        <v>0</v>
      </c>
      <c r="O46" s="105">
        <f>+O20+O22+O24</f>
        <v>0</v>
      </c>
    </row>
    <row r="47" spans="1:17" x14ac:dyDescent="0.2">
      <c r="A47" s="68"/>
      <c r="B47" s="69" t="s">
        <v>221</v>
      </c>
      <c r="C47" s="86"/>
      <c r="D47" s="105">
        <f t="shared" si="26"/>
        <v>15312281</v>
      </c>
      <c r="E47" s="105">
        <f t="shared" si="26"/>
        <v>12545302</v>
      </c>
      <c r="F47" s="105">
        <f t="shared" si="26"/>
        <v>17740490</v>
      </c>
      <c r="G47" s="105">
        <f t="shared" si="26"/>
        <v>0</v>
      </c>
      <c r="H47" s="105">
        <f>+H21+H23+H25</f>
        <v>0</v>
      </c>
      <c r="I47" s="105">
        <f t="shared" si="26"/>
        <v>0</v>
      </c>
      <c r="J47" s="105">
        <f t="shared" si="26"/>
        <v>0</v>
      </c>
      <c r="K47" s="105">
        <f t="shared" si="26"/>
        <v>0</v>
      </c>
      <c r="L47" s="105">
        <f t="shared" si="26"/>
        <v>0</v>
      </c>
      <c r="M47" s="105">
        <f t="shared" si="26"/>
        <v>0</v>
      </c>
      <c r="N47" s="105">
        <f t="shared" si="26"/>
        <v>0</v>
      </c>
      <c r="O47" s="105">
        <f>+O21+O23+O25</f>
        <v>0</v>
      </c>
    </row>
    <row r="48" spans="1:17" x14ac:dyDescent="0.2">
      <c r="A48" s="73"/>
      <c r="B48" s="74" t="s">
        <v>222</v>
      </c>
      <c r="C48" s="75"/>
      <c r="D48" s="106">
        <f t="shared" ref="D48:O48" si="27">+D44/D43</f>
        <v>0.78892228650653407</v>
      </c>
      <c r="E48" s="106">
        <f t="shared" si="27"/>
        <v>0.73522244397600711</v>
      </c>
      <c r="F48" s="106">
        <f t="shared" si="27"/>
        <v>0.79736587226993283</v>
      </c>
      <c r="G48" s="106">
        <f t="shared" si="27"/>
        <v>0</v>
      </c>
      <c r="H48" s="106" t="e">
        <f t="shared" si="27"/>
        <v>#DIV/0!</v>
      </c>
      <c r="I48" s="106" t="e">
        <f t="shared" si="27"/>
        <v>#DIV/0!</v>
      </c>
      <c r="J48" s="106" t="e">
        <f t="shared" si="27"/>
        <v>#DIV/0!</v>
      </c>
      <c r="K48" s="106" t="e">
        <f t="shared" si="27"/>
        <v>#DIV/0!</v>
      </c>
      <c r="L48" s="106" t="e">
        <f t="shared" si="27"/>
        <v>#DIV/0!</v>
      </c>
      <c r="M48" s="106" t="e">
        <f t="shared" si="27"/>
        <v>#DIV/0!</v>
      </c>
      <c r="N48" s="106" t="e">
        <f t="shared" si="27"/>
        <v>#DIV/0!</v>
      </c>
      <c r="O48" s="106" t="e">
        <f t="shared" si="27"/>
        <v>#DIV/0!</v>
      </c>
    </row>
    <row r="49" spans="1:16" x14ac:dyDescent="0.2">
      <c r="A49" s="68"/>
      <c r="B49" s="69" t="s">
        <v>223</v>
      </c>
      <c r="C49" s="70"/>
      <c r="D49" s="107">
        <f t="shared" ref="D49:O49" si="28">+D47/D46</f>
        <v>0.73409794073293866</v>
      </c>
      <c r="E49" s="107">
        <f t="shared" si="28"/>
        <v>0.78089503044016773</v>
      </c>
      <c r="F49" s="107">
        <f t="shared" si="28"/>
        <v>0.8266060070790745</v>
      </c>
      <c r="G49" s="107">
        <f t="shared" si="28"/>
        <v>0</v>
      </c>
      <c r="H49" s="107" t="e">
        <f t="shared" si="28"/>
        <v>#DIV/0!</v>
      </c>
      <c r="I49" s="107" t="e">
        <f t="shared" si="28"/>
        <v>#DIV/0!</v>
      </c>
      <c r="J49" s="107" t="e">
        <f t="shared" si="28"/>
        <v>#DIV/0!</v>
      </c>
      <c r="K49" s="107" t="e">
        <f t="shared" si="28"/>
        <v>#DIV/0!</v>
      </c>
      <c r="L49" s="107" t="e">
        <f t="shared" si="28"/>
        <v>#DIV/0!</v>
      </c>
      <c r="M49" s="107" t="e">
        <f t="shared" si="28"/>
        <v>#DIV/0!</v>
      </c>
      <c r="N49" s="107" t="e">
        <f t="shared" si="28"/>
        <v>#DIV/0!</v>
      </c>
      <c r="O49" s="107" t="e">
        <f t="shared" si="28"/>
        <v>#DIV/0!</v>
      </c>
    </row>
    <row r="50" spans="1:16" x14ac:dyDescent="0.2">
      <c r="A50" s="87"/>
      <c r="B50" s="88"/>
      <c r="C50" s="89"/>
      <c r="D50" s="90"/>
      <c r="E50" s="90"/>
      <c r="F50" s="90"/>
      <c r="G50" s="90"/>
      <c r="H50" s="90"/>
      <c r="I50" s="90"/>
      <c r="J50" s="90"/>
      <c r="K50" s="91"/>
      <c r="L50" s="91"/>
      <c r="M50" s="91"/>
      <c r="N50" s="91"/>
      <c r="O50" s="91"/>
    </row>
    <row r="51" spans="1:16" x14ac:dyDescent="0.2">
      <c r="A51" s="88"/>
      <c r="B51" s="88"/>
      <c r="C51" s="88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</row>
    <row r="52" spans="1:16" x14ac:dyDescent="0.2">
      <c r="A52" s="153" t="s">
        <v>224</v>
      </c>
      <c r="B52" s="153"/>
      <c r="C52" s="66" t="s">
        <v>183</v>
      </c>
      <c r="D52" s="67">
        <f>+D4</f>
        <v>45658</v>
      </c>
      <c r="E52" s="67">
        <f t="shared" ref="E52:O52" si="29">+E4</f>
        <v>45689</v>
      </c>
      <c r="F52" s="67">
        <f t="shared" si="29"/>
        <v>45717</v>
      </c>
      <c r="G52" s="67">
        <f t="shared" si="29"/>
        <v>45748</v>
      </c>
      <c r="H52" s="67">
        <f t="shared" si="29"/>
        <v>45778</v>
      </c>
      <c r="I52" s="67">
        <f t="shared" si="29"/>
        <v>45809</v>
      </c>
      <c r="J52" s="144">
        <f t="shared" si="29"/>
        <v>45839</v>
      </c>
      <c r="K52" s="144">
        <f t="shared" si="29"/>
        <v>45870</v>
      </c>
      <c r="L52" s="144">
        <f t="shared" si="29"/>
        <v>45901</v>
      </c>
      <c r="M52" s="144">
        <f t="shared" si="29"/>
        <v>45931</v>
      </c>
      <c r="N52" s="67">
        <f t="shared" si="29"/>
        <v>45962</v>
      </c>
      <c r="O52" s="67">
        <f t="shared" si="29"/>
        <v>45992</v>
      </c>
    </row>
    <row r="53" spans="1:16" x14ac:dyDescent="0.2">
      <c r="A53" s="68">
        <v>1</v>
      </c>
      <c r="B53" s="69" t="s">
        <v>225</v>
      </c>
      <c r="C53" s="70" t="s">
        <v>226</v>
      </c>
      <c r="D53" s="108" t="e">
        <f>+D6/D5</f>
        <v>#DIV/0!</v>
      </c>
      <c r="E53" s="108" t="e">
        <f t="shared" ref="E53:N53" si="30">+E6/E5</f>
        <v>#DIV/0!</v>
      </c>
      <c r="F53" s="108" t="e">
        <f t="shared" si="30"/>
        <v>#DIV/0!</v>
      </c>
      <c r="G53" s="108" t="e">
        <f t="shared" si="30"/>
        <v>#DIV/0!</v>
      </c>
      <c r="H53" s="108" t="e">
        <f t="shared" si="30"/>
        <v>#DIV/0!</v>
      </c>
      <c r="I53" s="108" t="e">
        <f t="shared" si="30"/>
        <v>#DIV/0!</v>
      </c>
      <c r="J53" s="143" t="e">
        <f t="shared" si="30"/>
        <v>#DIV/0!</v>
      </c>
      <c r="K53" s="143" t="e">
        <f t="shared" si="30"/>
        <v>#DIV/0!</v>
      </c>
      <c r="L53" s="143" t="e">
        <f t="shared" si="30"/>
        <v>#DIV/0!</v>
      </c>
      <c r="M53" s="143" t="e">
        <f t="shared" si="30"/>
        <v>#DIV/0!</v>
      </c>
      <c r="N53" s="108" t="e">
        <f t="shared" si="30"/>
        <v>#DIV/0!</v>
      </c>
      <c r="O53" s="108" t="e">
        <f>+O6/O5</f>
        <v>#DIV/0!</v>
      </c>
    </row>
    <row r="54" spans="1:16" x14ac:dyDescent="0.2">
      <c r="A54" s="73">
        <v>2</v>
      </c>
      <c r="B54" s="74" t="s">
        <v>227</v>
      </c>
      <c r="C54" s="75" t="s">
        <v>226</v>
      </c>
      <c r="D54" s="108" t="e">
        <f>+D7/D5</f>
        <v>#DIV/0!</v>
      </c>
      <c r="E54" s="108" t="e">
        <f t="shared" ref="E54:O54" si="31">+E7/E5</f>
        <v>#DIV/0!</v>
      </c>
      <c r="F54" s="108" t="e">
        <f t="shared" si="31"/>
        <v>#DIV/0!</v>
      </c>
      <c r="G54" s="108" t="e">
        <f t="shared" si="31"/>
        <v>#DIV/0!</v>
      </c>
      <c r="H54" s="108" t="e">
        <f t="shared" si="31"/>
        <v>#DIV/0!</v>
      </c>
      <c r="I54" s="108" t="e">
        <f t="shared" si="31"/>
        <v>#DIV/0!</v>
      </c>
      <c r="J54" s="143" t="e">
        <f t="shared" si="31"/>
        <v>#DIV/0!</v>
      </c>
      <c r="K54" s="143" t="e">
        <f t="shared" si="31"/>
        <v>#DIV/0!</v>
      </c>
      <c r="L54" s="143" t="e">
        <f t="shared" si="31"/>
        <v>#DIV/0!</v>
      </c>
      <c r="M54" s="143" t="e">
        <f t="shared" si="31"/>
        <v>#DIV/0!</v>
      </c>
      <c r="N54" s="108" t="e">
        <f t="shared" si="31"/>
        <v>#DIV/0!</v>
      </c>
      <c r="O54" s="108" t="e">
        <f t="shared" si="31"/>
        <v>#DIV/0!</v>
      </c>
    </row>
    <row r="55" spans="1:16" x14ac:dyDescent="0.2">
      <c r="A55" s="68">
        <v>3</v>
      </c>
      <c r="B55" s="69" t="s">
        <v>228</v>
      </c>
      <c r="C55" s="70" t="s">
        <v>226</v>
      </c>
      <c r="D55" s="108" t="e">
        <f>+D8/D5</f>
        <v>#DIV/0!</v>
      </c>
      <c r="E55" s="108" t="e">
        <f t="shared" ref="E55:O55" si="32">+E8/E5</f>
        <v>#DIV/0!</v>
      </c>
      <c r="F55" s="108" t="e">
        <f t="shared" si="32"/>
        <v>#DIV/0!</v>
      </c>
      <c r="G55" s="108" t="e">
        <f t="shared" si="32"/>
        <v>#DIV/0!</v>
      </c>
      <c r="H55" s="108" t="e">
        <f t="shared" si="32"/>
        <v>#DIV/0!</v>
      </c>
      <c r="I55" s="108" t="e">
        <f t="shared" si="32"/>
        <v>#DIV/0!</v>
      </c>
      <c r="J55" s="143" t="e">
        <f t="shared" si="32"/>
        <v>#DIV/0!</v>
      </c>
      <c r="K55" s="143" t="e">
        <f t="shared" si="32"/>
        <v>#DIV/0!</v>
      </c>
      <c r="L55" s="143" t="e">
        <f t="shared" si="32"/>
        <v>#DIV/0!</v>
      </c>
      <c r="M55" s="143" t="e">
        <f t="shared" si="32"/>
        <v>#DIV/0!</v>
      </c>
      <c r="N55" s="108" t="e">
        <f t="shared" si="32"/>
        <v>#DIV/0!</v>
      </c>
      <c r="O55" s="108" t="e">
        <f t="shared" si="32"/>
        <v>#DIV/0!</v>
      </c>
    </row>
    <row r="56" spans="1:16" ht="22.5" x14ac:dyDescent="0.2">
      <c r="A56" s="73">
        <v>4</v>
      </c>
      <c r="B56" s="74" t="s">
        <v>229</v>
      </c>
      <c r="C56" s="92" t="s">
        <v>230</v>
      </c>
      <c r="D56" s="112">
        <f t="shared" ref="D56:I56" si="33">+(D9-D10)/D6</f>
        <v>4.2195235871088279</v>
      </c>
      <c r="E56" s="112">
        <f t="shared" si="33"/>
        <v>-3.8130841121495327</v>
      </c>
      <c r="F56" s="112">
        <f t="shared" si="33"/>
        <v>6.2251162790697672</v>
      </c>
      <c r="G56" s="112">
        <f t="shared" si="33"/>
        <v>-18.201205377839592</v>
      </c>
      <c r="H56" s="112" t="e">
        <f t="shared" si="33"/>
        <v>#DIV/0!</v>
      </c>
      <c r="I56" s="112" t="e">
        <f t="shared" si="33"/>
        <v>#DIV/0!</v>
      </c>
      <c r="J56" s="112" t="e">
        <f>+(J9-J10)/J6</f>
        <v>#DIV/0!</v>
      </c>
      <c r="K56" s="112" t="e">
        <f t="shared" ref="K56:O56" si="34">+(K9-K10)/K6</f>
        <v>#DIV/0!</v>
      </c>
      <c r="L56" s="112" t="e">
        <f t="shared" si="34"/>
        <v>#DIV/0!</v>
      </c>
      <c r="M56" s="112" t="e">
        <f t="shared" si="34"/>
        <v>#DIV/0!</v>
      </c>
      <c r="N56" s="112" t="e">
        <f t="shared" si="34"/>
        <v>#DIV/0!</v>
      </c>
      <c r="O56" s="112" t="e">
        <f t="shared" si="34"/>
        <v>#DIV/0!</v>
      </c>
    </row>
    <row r="57" spans="1:16" s="142" customFormat="1" x14ac:dyDescent="0.2">
      <c r="A57" s="138">
        <v>5</v>
      </c>
      <c r="B57" s="139" t="s">
        <v>231</v>
      </c>
      <c r="C57" s="140" t="s">
        <v>226</v>
      </c>
      <c r="D57" s="143">
        <f>+ROUND((D9-D10)/D9,4)</f>
        <v>0.2167</v>
      </c>
      <c r="E57" s="143">
        <f t="shared" ref="E57:H57" si="35">+ROUND((E9-E10)/E9,4)</f>
        <v>-0.2218</v>
      </c>
      <c r="F57" s="143">
        <f t="shared" si="35"/>
        <v>0.31009999999999999</v>
      </c>
      <c r="G57" s="143" t="e">
        <f t="shared" si="35"/>
        <v>#DIV/0!</v>
      </c>
      <c r="H57" s="143" t="e">
        <f t="shared" si="35"/>
        <v>#DIV/0!</v>
      </c>
      <c r="I57" s="143" t="e">
        <f t="shared" ref="I57:O57" si="36">+ROUND((I9-I10)/I9,4)</f>
        <v>#DIV/0!</v>
      </c>
      <c r="J57" s="143" t="e">
        <f t="shared" si="36"/>
        <v>#DIV/0!</v>
      </c>
      <c r="K57" s="143" t="e">
        <f t="shared" si="36"/>
        <v>#DIV/0!</v>
      </c>
      <c r="L57" s="143" t="e">
        <f t="shared" si="36"/>
        <v>#DIV/0!</v>
      </c>
      <c r="M57" s="143" t="e">
        <f t="shared" si="36"/>
        <v>#DIV/0!</v>
      </c>
      <c r="N57" s="143" t="e">
        <f t="shared" si="36"/>
        <v>#DIV/0!</v>
      </c>
      <c r="O57" s="143" t="e">
        <f t="shared" si="36"/>
        <v>#DIV/0!</v>
      </c>
      <c r="P57" s="150" t="e">
        <f>AVERAGE(D57:O57)</f>
        <v>#DIV/0!</v>
      </c>
    </row>
    <row r="58" spans="1:16" x14ac:dyDescent="0.2">
      <c r="A58" s="73">
        <v>6</v>
      </c>
      <c r="B58" s="74" t="s">
        <v>232</v>
      </c>
      <c r="C58" s="75" t="s">
        <v>226</v>
      </c>
      <c r="D58" s="93">
        <f>+D15/D14</f>
        <v>0.78461679322820177</v>
      </c>
      <c r="E58" s="93">
        <f t="shared" ref="E58:O58" si="37">+E15/E14</f>
        <v>0.7152312017296627</v>
      </c>
      <c r="F58" s="93">
        <f t="shared" si="37"/>
        <v>0.79181979765272725</v>
      </c>
      <c r="G58" s="93">
        <f t="shared" si="37"/>
        <v>0</v>
      </c>
      <c r="H58" s="93" t="e">
        <f t="shared" si="37"/>
        <v>#DIV/0!</v>
      </c>
      <c r="I58" s="93" t="e">
        <f t="shared" si="37"/>
        <v>#DIV/0!</v>
      </c>
      <c r="J58" s="93" t="e">
        <f t="shared" si="37"/>
        <v>#DIV/0!</v>
      </c>
      <c r="K58" s="108" t="e">
        <f t="shared" si="37"/>
        <v>#DIV/0!</v>
      </c>
      <c r="L58" s="108" t="e">
        <f t="shared" si="37"/>
        <v>#DIV/0!</v>
      </c>
      <c r="M58" s="108" t="e">
        <f t="shared" si="37"/>
        <v>#DIV/0!</v>
      </c>
      <c r="N58" s="108" t="e">
        <f t="shared" si="37"/>
        <v>#DIV/0!</v>
      </c>
      <c r="O58" s="108" t="e">
        <f t="shared" si="37"/>
        <v>#DIV/0!</v>
      </c>
    </row>
    <row r="59" spans="1:16" x14ac:dyDescent="0.2">
      <c r="A59" s="68">
        <v>7</v>
      </c>
      <c r="B59" s="69" t="s">
        <v>233</v>
      </c>
      <c r="C59" s="70" t="s">
        <v>226</v>
      </c>
      <c r="D59" s="93">
        <f>+D17/D16</f>
        <v>0.75634211566602005</v>
      </c>
      <c r="E59" s="93">
        <f t="shared" ref="E59:O59" si="38">+E17/E16</f>
        <v>0.75830915418589895</v>
      </c>
      <c r="F59" s="93">
        <f t="shared" si="38"/>
        <v>0.78102942226275518</v>
      </c>
      <c r="G59" s="93">
        <f t="shared" si="38"/>
        <v>0</v>
      </c>
      <c r="H59" s="93" t="e">
        <f t="shared" si="38"/>
        <v>#DIV/0!</v>
      </c>
      <c r="I59" s="93" t="e">
        <f t="shared" si="38"/>
        <v>#DIV/0!</v>
      </c>
      <c r="J59" s="93" t="e">
        <f t="shared" si="38"/>
        <v>#DIV/0!</v>
      </c>
      <c r="K59" s="108" t="e">
        <f t="shared" si="38"/>
        <v>#DIV/0!</v>
      </c>
      <c r="L59" s="108" t="e">
        <f t="shared" si="38"/>
        <v>#DIV/0!</v>
      </c>
      <c r="M59" s="108" t="e">
        <f t="shared" si="38"/>
        <v>#DIV/0!</v>
      </c>
      <c r="N59" s="108" t="e">
        <f t="shared" si="38"/>
        <v>#DIV/0!</v>
      </c>
      <c r="O59" s="108" t="e">
        <f t="shared" si="38"/>
        <v>#DIV/0!</v>
      </c>
    </row>
    <row r="60" spans="1:16" x14ac:dyDescent="0.2">
      <c r="A60" s="73">
        <v>8</v>
      </c>
      <c r="B60" s="74" t="s">
        <v>234</v>
      </c>
      <c r="C60" s="75" t="s">
        <v>226</v>
      </c>
      <c r="D60" s="93">
        <f>+D19/D18</f>
        <v>0.82745404727833427</v>
      </c>
      <c r="E60" s="93">
        <f t="shared" ref="E60:N60" si="39">+E19/E18</f>
        <v>0.74811379793384292</v>
      </c>
      <c r="F60" s="93">
        <f t="shared" si="39"/>
        <v>0.81994752555274142</v>
      </c>
      <c r="G60" s="93">
        <f t="shared" si="39"/>
        <v>0</v>
      </c>
      <c r="H60" s="93" t="e">
        <f t="shared" si="39"/>
        <v>#DIV/0!</v>
      </c>
      <c r="I60" s="93" t="e">
        <f t="shared" si="39"/>
        <v>#DIV/0!</v>
      </c>
      <c r="J60" s="93" t="e">
        <f t="shared" si="39"/>
        <v>#DIV/0!</v>
      </c>
      <c r="K60" s="108" t="e">
        <f t="shared" si="39"/>
        <v>#DIV/0!</v>
      </c>
      <c r="L60" s="108" t="e">
        <f t="shared" si="39"/>
        <v>#DIV/0!</v>
      </c>
      <c r="M60" s="108" t="e">
        <f t="shared" si="39"/>
        <v>#DIV/0!</v>
      </c>
      <c r="N60" s="108" t="e">
        <f t="shared" si="39"/>
        <v>#DIV/0!</v>
      </c>
      <c r="O60" s="108" t="e">
        <f>+O19/O18</f>
        <v>#DIV/0!</v>
      </c>
    </row>
    <row r="61" spans="1:16" x14ac:dyDescent="0.2">
      <c r="A61" s="68">
        <v>9</v>
      </c>
      <c r="B61" s="69" t="s">
        <v>235</v>
      </c>
      <c r="C61" s="94" t="s">
        <v>226</v>
      </c>
      <c r="D61" s="93">
        <f>+D21/D20</f>
        <v>0.67534188115044458</v>
      </c>
      <c r="E61" s="93">
        <f t="shared" ref="E61:N61" si="40">+E21/E20</f>
        <v>0.7495460441972942</v>
      </c>
      <c r="F61" s="93">
        <f t="shared" si="40"/>
        <v>0.78364141121911413</v>
      </c>
      <c r="G61" s="93">
        <f t="shared" si="40"/>
        <v>0</v>
      </c>
      <c r="H61" s="93" t="e">
        <f t="shared" si="40"/>
        <v>#DIV/0!</v>
      </c>
      <c r="I61" s="93" t="e">
        <f t="shared" si="40"/>
        <v>#DIV/0!</v>
      </c>
      <c r="J61" s="93" t="e">
        <f t="shared" si="40"/>
        <v>#DIV/0!</v>
      </c>
      <c r="K61" s="108" t="e">
        <f t="shared" si="40"/>
        <v>#DIV/0!</v>
      </c>
      <c r="L61" s="108" t="e">
        <f t="shared" si="40"/>
        <v>#DIV/0!</v>
      </c>
      <c r="M61" s="108" t="e">
        <f t="shared" si="40"/>
        <v>#DIV/0!</v>
      </c>
      <c r="N61" s="108" t="e">
        <f t="shared" si="40"/>
        <v>#DIV/0!</v>
      </c>
      <c r="O61" s="108" t="e">
        <f>+O21/O20</f>
        <v>#DIV/0!</v>
      </c>
    </row>
    <row r="62" spans="1:16" x14ac:dyDescent="0.2">
      <c r="A62" s="73">
        <v>10</v>
      </c>
      <c r="B62" s="74" t="s">
        <v>236</v>
      </c>
      <c r="C62" s="75" t="s">
        <v>226</v>
      </c>
      <c r="D62" s="93">
        <f>+D23/D22</f>
        <v>0.7337910004807443</v>
      </c>
      <c r="E62" s="93">
        <f t="shared" ref="E62:N62" si="41">+E23/E22</f>
        <v>0.8162253966470443</v>
      </c>
      <c r="F62" s="93">
        <f t="shared" si="41"/>
        <v>0.8913273074378979</v>
      </c>
      <c r="G62" s="93">
        <f t="shared" si="41"/>
        <v>0</v>
      </c>
      <c r="H62" s="93" t="e">
        <f t="shared" si="41"/>
        <v>#DIV/0!</v>
      </c>
      <c r="I62" s="93" t="e">
        <f t="shared" si="41"/>
        <v>#DIV/0!</v>
      </c>
      <c r="J62" s="93" t="e">
        <f t="shared" si="41"/>
        <v>#DIV/0!</v>
      </c>
      <c r="K62" s="108" t="e">
        <f t="shared" si="41"/>
        <v>#DIV/0!</v>
      </c>
      <c r="L62" s="108" t="e">
        <f t="shared" si="41"/>
        <v>#DIV/0!</v>
      </c>
      <c r="M62" s="108" t="e">
        <f t="shared" si="41"/>
        <v>#DIV/0!</v>
      </c>
      <c r="N62" s="108" t="e">
        <f t="shared" si="41"/>
        <v>#DIV/0!</v>
      </c>
      <c r="O62" s="108" t="e">
        <f>+O23/O22</f>
        <v>#DIV/0!</v>
      </c>
    </row>
    <row r="63" spans="1:16" x14ac:dyDescent="0.2">
      <c r="A63" s="68">
        <v>11</v>
      </c>
      <c r="B63" s="69" t="s">
        <v>237</v>
      </c>
      <c r="C63" s="94" t="s">
        <v>226</v>
      </c>
      <c r="D63" s="93">
        <f>+D25/D24</f>
        <v>0.83035919545903514</v>
      </c>
      <c r="E63" s="93">
        <f t="shared" ref="E63:N63" si="42">+E25/E24</f>
        <v>0.80465123078145129</v>
      </c>
      <c r="F63" s="93">
        <f t="shared" si="42"/>
        <v>0.85116083585397717</v>
      </c>
      <c r="G63" s="93">
        <f t="shared" si="42"/>
        <v>0</v>
      </c>
      <c r="H63" s="93" t="e">
        <f t="shared" si="42"/>
        <v>#DIV/0!</v>
      </c>
      <c r="I63" s="93" t="e">
        <f t="shared" si="42"/>
        <v>#DIV/0!</v>
      </c>
      <c r="J63" s="93" t="e">
        <f t="shared" si="42"/>
        <v>#DIV/0!</v>
      </c>
      <c r="K63" s="108" t="e">
        <f t="shared" si="42"/>
        <v>#DIV/0!</v>
      </c>
      <c r="L63" s="108" t="e">
        <f t="shared" si="42"/>
        <v>#DIV/0!</v>
      </c>
      <c r="M63" s="108" t="e">
        <f t="shared" si="42"/>
        <v>#DIV/0!</v>
      </c>
      <c r="N63" s="108" t="e">
        <f t="shared" si="42"/>
        <v>#DIV/0!</v>
      </c>
      <c r="O63" s="108" t="e">
        <f>+O25/O24</f>
        <v>#DIV/0!</v>
      </c>
    </row>
    <row r="64" spans="1:16" x14ac:dyDescent="0.2">
      <c r="A64" s="73">
        <v>12</v>
      </c>
      <c r="B64" s="74" t="s">
        <v>238</v>
      </c>
      <c r="C64" s="75" t="s">
        <v>226</v>
      </c>
      <c r="D64" s="93">
        <f t="shared" ref="D64:O64" si="43">+D27/D26</f>
        <v>0.75382319539288822</v>
      </c>
      <c r="E64" s="93">
        <f t="shared" si="43"/>
        <v>0.72180371366190677</v>
      </c>
      <c r="F64" s="93">
        <f t="shared" si="43"/>
        <v>0.78915595065348498</v>
      </c>
      <c r="G64" s="93">
        <f t="shared" si="43"/>
        <v>0</v>
      </c>
      <c r="H64" s="93" t="e">
        <f t="shared" si="43"/>
        <v>#DIV/0!</v>
      </c>
      <c r="I64" s="93" t="e">
        <f t="shared" si="43"/>
        <v>#DIV/0!</v>
      </c>
      <c r="J64" s="93" t="e">
        <f t="shared" si="43"/>
        <v>#DIV/0!</v>
      </c>
      <c r="K64" s="108" t="e">
        <f t="shared" si="43"/>
        <v>#DIV/0!</v>
      </c>
      <c r="L64" s="108" t="e">
        <f t="shared" si="43"/>
        <v>#DIV/0!</v>
      </c>
      <c r="M64" s="108" t="e">
        <f t="shared" si="43"/>
        <v>#DIV/0!</v>
      </c>
      <c r="N64" s="108" t="e">
        <f t="shared" si="43"/>
        <v>#DIV/0!</v>
      </c>
      <c r="O64" s="108" t="e">
        <f t="shared" si="43"/>
        <v>#DIV/0!</v>
      </c>
    </row>
    <row r="65" spans="1:15" x14ac:dyDescent="0.2">
      <c r="A65" s="68">
        <v>13</v>
      </c>
      <c r="B65" s="69" t="s">
        <v>239</v>
      </c>
      <c r="C65" s="94" t="s">
        <v>226</v>
      </c>
      <c r="D65" s="93">
        <f t="shared" ref="D65:O65" si="44">+D29/D28</f>
        <v>0.75043640846000792</v>
      </c>
      <c r="E65" s="93">
        <f t="shared" si="44"/>
        <v>0.76907153818206297</v>
      </c>
      <c r="F65" s="93">
        <f t="shared" si="44"/>
        <v>0.81251523031584039</v>
      </c>
      <c r="G65" s="93">
        <f t="shared" si="44"/>
        <v>0</v>
      </c>
      <c r="H65" s="93" t="e">
        <f t="shared" si="44"/>
        <v>#DIV/0!</v>
      </c>
      <c r="I65" s="93" t="e">
        <f t="shared" si="44"/>
        <v>#DIV/0!</v>
      </c>
      <c r="J65" s="93" t="e">
        <f t="shared" si="44"/>
        <v>#DIV/0!</v>
      </c>
      <c r="K65" s="108" t="e">
        <f t="shared" si="44"/>
        <v>#DIV/0!</v>
      </c>
      <c r="L65" s="108" t="e">
        <f t="shared" si="44"/>
        <v>#DIV/0!</v>
      </c>
      <c r="M65" s="108" t="e">
        <f t="shared" si="44"/>
        <v>#DIV/0!</v>
      </c>
      <c r="N65" s="108" t="e">
        <f t="shared" si="44"/>
        <v>#DIV/0!</v>
      </c>
      <c r="O65" s="108" t="e">
        <f t="shared" si="44"/>
        <v>#DIV/0!</v>
      </c>
    </row>
    <row r="66" spans="1:15" x14ac:dyDescent="0.2">
      <c r="A66" s="73">
        <v>14</v>
      </c>
      <c r="B66" s="74" t="s">
        <v>240</v>
      </c>
      <c r="C66" s="75" t="s">
        <v>226</v>
      </c>
      <c r="D66" s="93">
        <f t="shared" ref="D66:O66" si="45">+D31/D30</f>
        <v>0.82823416355311008</v>
      </c>
      <c r="E66" s="93">
        <f t="shared" si="45"/>
        <v>0.75864168845834867</v>
      </c>
      <c r="F66" s="93">
        <f t="shared" si="45"/>
        <v>0.82705464907393822</v>
      </c>
      <c r="G66" s="93">
        <f t="shared" si="45"/>
        <v>0</v>
      </c>
      <c r="H66" s="93" t="e">
        <f t="shared" si="45"/>
        <v>#DIV/0!</v>
      </c>
      <c r="I66" s="93" t="e">
        <f t="shared" si="45"/>
        <v>#DIV/0!</v>
      </c>
      <c r="J66" s="93" t="e">
        <f t="shared" si="45"/>
        <v>#DIV/0!</v>
      </c>
      <c r="K66" s="108" t="e">
        <f t="shared" si="45"/>
        <v>#DIV/0!</v>
      </c>
      <c r="L66" s="108" t="e">
        <f t="shared" si="45"/>
        <v>#DIV/0!</v>
      </c>
      <c r="M66" s="108" t="e">
        <f t="shared" si="45"/>
        <v>#DIV/0!</v>
      </c>
      <c r="N66" s="108" t="e">
        <f t="shared" si="45"/>
        <v>#DIV/0!</v>
      </c>
      <c r="O66" s="108" t="e">
        <f t="shared" si="45"/>
        <v>#DIV/0!</v>
      </c>
    </row>
    <row r="67" spans="1:15" x14ac:dyDescent="0.2">
      <c r="A67" s="68">
        <v>15</v>
      </c>
      <c r="B67" s="69" t="s">
        <v>241</v>
      </c>
      <c r="C67" s="94" t="s">
        <v>226</v>
      </c>
      <c r="D67" s="93">
        <f t="shared" ref="D67:O67" si="46">+D33/D32</f>
        <v>0.77397981908910662</v>
      </c>
      <c r="E67" s="93">
        <f t="shared" si="46"/>
        <v>0.74383967071329138</v>
      </c>
      <c r="F67" s="93">
        <f t="shared" si="46"/>
        <v>0.80578809236044036</v>
      </c>
      <c r="G67" s="93">
        <f t="shared" si="46"/>
        <v>0</v>
      </c>
      <c r="H67" s="93" t="e">
        <f t="shared" si="46"/>
        <v>#DIV/0!</v>
      </c>
      <c r="I67" s="93" t="e">
        <f t="shared" si="46"/>
        <v>#DIV/0!</v>
      </c>
      <c r="J67" s="93" t="e">
        <f t="shared" si="46"/>
        <v>#DIV/0!</v>
      </c>
      <c r="K67" s="108" t="e">
        <f t="shared" si="46"/>
        <v>#DIV/0!</v>
      </c>
      <c r="L67" s="108" t="e">
        <f t="shared" si="46"/>
        <v>#DIV/0!</v>
      </c>
      <c r="M67" s="108" t="e">
        <f t="shared" si="46"/>
        <v>#DIV/0!</v>
      </c>
      <c r="N67" s="108" t="e">
        <f t="shared" si="46"/>
        <v>#DIV/0!</v>
      </c>
      <c r="O67" s="108" t="e">
        <f t="shared" si="46"/>
        <v>#DIV/0!</v>
      </c>
    </row>
    <row r="68" spans="1:15" hidden="1" x14ac:dyDescent="0.2">
      <c r="A68" s="68">
        <v>16</v>
      </c>
      <c r="B68" s="69" t="s">
        <v>242</v>
      </c>
      <c r="C68" s="70" t="s">
        <v>243</v>
      </c>
      <c r="D68" s="95">
        <f t="shared" ref="D68:O68" si="47">+D13/D10</f>
        <v>0</v>
      </c>
      <c r="E68" s="95">
        <f t="shared" si="47"/>
        <v>0</v>
      </c>
      <c r="F68" s="95">
        <f t="shared" si="47"/>
        <v>0</v>
      </c>
      <c r="G68" s="95">
        <f t="shared" si="47"/>
        <v>0</v>
      </c>
      <c r="H68" s="95" t="e">
        <f t="shared" si="47"/>
        <v>#DIV/0!</v>
      </c>
      <c r="I68" s="95" t="e">
        <f t="shared" si="47"/>
        <v>#DIV/0!</v>
      </c>
      <c r="J68" s="95" t="e">
        <f t="shared" si="47"/>
        <v>#DIV/0!</v>
      </c>
      <c r="K68" s="95" t="e">
        <f t="shared" si="47"/>
        <v>#DIV/0!</v>
      </c>
      <c r="L68" s="95" t="e">
        <f t="shared" si="47"/>
        <v>#DIV/0!</v>
      </c>
      <c r="M68" s="95" t="e">
        <f t="shared" si="47"/>
        <v>#DIV/0!</v>
      </c>
      <c r="N68" s="95" t="e">
        <f t="shared" si="47"/>
        <v>#DIV/0!</v>
      </c>
      <c r="O68" s="95" t="e">
        <f t="shared" si="47"/>
        <v>#DIV/0!</v>
      </c>
    </row>
    <row r="69" spans="1:15" hidden="1" x14ac:dyDescent="0.2">
      <c r="A69" s="73">
        <v>17</v>
      </c>
      <c r="B69" s="74" t="s">
        <v>244</v>
      </c>
      <c r="C69" s="75" t="s">
        <v>192</v>
      </c>
      <c r="D69" s="96">
        <f t="shared" ref="D69:O69" si="48">+D11-D12-D13</f>
        <v>30696</v>
      </c>
      <c r="E69" s="96">
        <f t="shared" si="48"/>
        <v>40627</v>
      </c>
      <c r="F69" s="96">
        <f t="shared" si="48"/>
        <v>27542</v>
      </c>
      <c r="G69" s="96">
        <f t="shared" si="48"/>
        <v>36520</v>
      </c>
      <c r="H69" s="96">
        <f t="shared" si="48"/>
        <v>0</v>
      </c>
      <c r="I69" s="96">
        <f t="shared" si="48"/>
        <v>0</v>
      </c>
      <c r="J69" s="96">
        <f t="shared" si="48"/>
        <v>0</v>
      </c>
      <c r="K69" s="96">
        <f t="shared" si="48"/>
        <v>0</v>
      </c>
      <c r="L69" s="96">
        <f t="shared" si="48"/>
        <v>0</v>
      </c>
      <c r="M69" s="96">
        <f t="shared" si="48"/>
        <v>0</v>
      </c>
      <c r="N69" s="96">
        <f t="shared" si="48"/>
        <v>0</v>
      </c>
      <c r="O69" s="96">
        <f t="shared" si="48"/>
        <v>0</v>
      </c>
    </row>
    <row r="70" spans="1:15" x14ac:dyDescent="0.2">
      <c r="B70" s="65" t="s">
        <v>267</v>
      </c>
      <c r="D70" s="119">
        <f>+(D9-D10)/D6</f>
        <v>4.2195235871088279</v>
      </c>
      <c r="E70" s="119">
        <f t="shared" ref="E70:O70" si="49">+(E9-E10)/E6</f>
        <v>-3.8130841121495327</v>
      </c>
      <c r="F70" s="119">
        <f t="shared" si="49"/>
        <v>6.2251162790697672</v>
      </c>
      <c r="G70" s="119">
        <f t="shared" si="49"/>
        <v>-18.201205377839592</v>
      </c>
      <c r="H70" s="119" t="e">
        <f t="shared" si="49"/>
        <v>#DIV/0!</v>
      </c>
      <c r="I70" s="119" t="e">
        <f t="shared" si="49"/>
        <v>#DIV/0!</v>
      </c>
      <c r="J70" s="119" t="e">
        <f t="shared" si="49"/>
        <v>#DIV/0!</v>
      </c>
      <c r="K70" s="119" t="e">
        <f t="shared" si="49"/>
        <v>#DIV/0!</v>
      </c>
      <c r="L70" s="119" t="e">
        <f t="shared" si="49"/>
        <v>#DIV/0!</v>
      </c>
      <c r="M70" s="119" t="e">
        <f t="shared" si="49"/>
        <v>#DIV/0!</v>
      </c>
      <c r="N70" s="119" t="e">
        <f t="shared" si="49"/>
        <v>#DIV/0!</v>
      </c>
      <c r="O70" s="119" t="e">
        <f t="shared" si="49"/>
        <v>#DIV/0!</v>
      </c>
    </row>
    <row r="71" spans="1:15" x14ac:dyDescent="0.2">
      <c r="B71" s="154" t="s">
        <v>245</v>
      </c>
      <c r="C71" s="154"/>
      <c r="D71" s="155"/>
      <c r="E71" s="155"/>
      <c r="F71" s="155"/>
      <c r="G71" s="155"/>
      <c r="H71" s="155"/>
      <c r="I71" s="155"/>
      <c r="J71" s="155"/>
    </row>
    <row r="87" spans="2:3" x14ac:dyDescent="0.2">
      <c r="B87" s="154" t="s">
        <v>246</v>
      </c>
      <c r="C87" s="154"/>
    </row>
    <row r="94" spans="2:3" ht="14.25" customHeight="1" x14ac:dyDescent="0.2"/>
  </sheetData>
  <mergeCells count="10">
    <mergeCell ref="A52:B52"/>
    <mergeCell ref="B71:C71"/>
    <mergeCell ref="D71:J71"/>
    <mergeCell ref="B87:C87"/>
    <mergeCell ref="A1:J1"/>
    <mergeCell ref="A2:B2"/>
    <mergeCell ref="C2:D2"/>
    <mergeCell ref="E2:F2"/>
    <mergeCell ref="A4:B4"/>
    <mergeCell ref="G2:K2"/>
  </mergeCells>
  <printOptions horizontalCentered="1"/>
  <pageMargins left="0" right="0" top="1.3779527559055118" bottom="0.39370078740157483" header="0.55118110236220474" footer="0.19685039370078741"/>
  <pageSetup scale="80" orientation="portrait" r:id="rId1"/>
  <headerFooter alignWithMargins="0"/>
  <ignoredErrors>
    <ignoredError sqref="D26:D33 D43:D47 D37:E37 E43:E49 F37:I37 F43:I49 L27:O33 E26:K30 J37:M37 L26:M26 O26 E32:K33 E31 G31:K31" unlockedFormula="1"/>
    <ignoredError sqref="D48:D49" evalError="1" unlockedFormula="1"/>
    <ignoredError sqref="D53:D55 D57:D67 D70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63"/>
  <sheetViews>
    <sheetView topLeftCell="A14" zoomScaleSheetLayoutView="72" workbookViewId="0">
      <selection activeCell="F20" sqref="F2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" style="2" customWidth="1"/>
    <col min="4" max="4" width="9.5703125" style="2" customWidth="1"/>
    <col min="5" max="5" width="8.85546875" style="2" customWidth="1"/>
    <col min="6" max="6" width="9" style="2" customWidth="1"/>
    <col min="7" max="7" width="9.140625" style="2" customWidth="1"/>
    <col min="8" max="8" width="8.7109375" style="2" customWidth="1"/>
    <col min="9" max="10" width="8.85546875" style="2" customWidth="1"/>
    <col min="11" max="12" width="9" style="2" bestFit="1" customWidth="1"/>
    <col min="13" max="14" width="7.7109375" style="2" customWidth="1"/>
    <col min="15" max="15" width="10.42578125" style="2" customWidth="1"/>
    <col min="16" max="16" width="7.140625" style="2" customWidth="1"/>
    <col min="17" max="18" width="7.140625" style="2" hidden="1" customWidth="1"/>
    <col min="19" max="19" width="7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.7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4.2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Tarquí'!$B8</f>
        <v>Eficiencia de Recaudo  Corriente</v>
      </c>
      <c r="G6" s="206"/>
      <c r="H6" s="207"/>
      <c r="I6" s="206"/>
      <c r="J6" s="206"/>
      <c r="K6" s="207"/>
      <c r="L6" s="206"/>
      <c r="M6" s="206"/>
      <c r="N6" s="206"/>
      <c r="O6" s="208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Tarquí'!F8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Tarquí'!A8</f>
        <v>IN01</v>
      </c>
      <c r="H8" s="228"/>
      <c r="I8" s="227"/>
      <c r="J8" s="227"/>
      <c r="K8" s="228"/>
      <c r="L8" s="227"/>
      <c r="M8" s="227"/>
      <c r="N8" s="227"/>
      <c r="O8" s="229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6.25" customHeight="1" thickBot="1" x14ac:dyDescent="0.3">
      <c r="A11" s="220" t="str">
        <f>'SET SP Tarquí'!$C8</f>
        <v>Medir la eficiencia en el recaudo corriente de la prestación de los servicios pubicos domiciliarios de Aguas del Huila.</v>
      </c>
      <c r="B11" s="221"/>
      <c r="C11" s="221"/>
      <c r="D11" s="221"/>
      <c r="E11" s="14" t="s">
        <v>35</v>
      </c>
      <c r="F11" s="221" t="str">
        <f>'SET SP Tarquí'!$D8</f>
        <v>(Valor  Recaudado  Corriente Usuario Final / Valor  Facturado Corriente Usuario Final) x100%</v>
      </c>
      <c r="G11" s="221"/>
      <c r="H11" s="12">
        <f>$O18</f>
        <v>0.85</v>
      </c>
      <c r="I11" s="13" t="str">
        <f>'SET SP Tarquí'!$E8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">
        <v>274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0.78</v>
      </c>
      <c r="D17" s="97">
        <f t="shared" si="0"/>
        <v>0.78</v>
      </c>
      <c r="E17" s="97">
        <f t="shared" si="0"/>
        <v>0.78</v>
      </c>
      <c r="F17" s="97">
        <f t="shared" si="0"/>
        <v>0.78</v>
      </c>
      <c r="G17" s="97">
        <f t="shared" si="0"/>
        <v>0.78</v>
      </c>
      <c r="H17" s="97">
        <f t="shared" si="0"/>
        <v>0.78</v>
      </c>
      <c r="I17" s="97">
        <f t="shared" si="0"/>
        <v>0.78</v>
      </c>
      <c r="J17" s="97">
        <f t="shared" si="0"/>
        <v>0.78</v>
      </c>
      <c r="K17" s="97">
        <f t="shared" si="0"/>
        <v>0.78</v>
      </c>
      <c r="L17" s="97">
        <f t="shared" si="0"/>
        <v>0.78</v>
      </c>
      <c r="M17" s="97">
        <f t="shared" si="0"/>
        <v>0.78</v>
      </c>
      <c r="N17" s="97">
        <f t="shared" si="0"/>
        <v>0.78</v>
      </c>
      <c r="O17" s="98">
        <f>'SET SP Tarquí'!J8</f>
        <v>0.78</v>
      </c>
      <c r="V17" s="7"/>
      <c r="W17" s="8"/>
      <c r="X17" s="8"/>
    </row>
    <row r="18" spans="1:24" ht="17.25" customHeight="1" x14ac:dyDescent="0.25">
      <c r="A18" s="263" t="s">
        <v>275</v>
      </c>
      <c r="B18" s="264"/>
      <c r="C18" s="97">
        <f t="shared" ref="C18:N18" si="1">$O$18</f>
        <v>0.85</v>
      </c>
      <c r="D18" s="97">
        <f t="shared" si="1"/>
        <v>0.85</v>
      </c>
      <c r="E18" s="97">
        <f t="shared" si="1"/>
        <v>0.85</v>
      </c>
      <c r="F18" s="97">
        <f t="shared" si="1"/>
        <v>0.85</v>
      </c>
      <c r="G18" s="97">
        <f t="shared" si="1"/>
        <v>0.85</v>
      </c>
      <c r="H18" s="97">
        <f t="shared" si="1"/>
        <v>0.85</v>
      </c>
      <c r="I18" s="97">
        <f t="shared" si="1"/>
        <v>0.85</v>
      </c>
      <c r="J18" s="97">
        <f t="shared" si="1"/>
        <v>0.85</v>
      </c>
      <c r="K18" s="97">
        <f t="shared" si="1"/>
        <v>0.85</v>
      </c>
      <c r="L18" s="97">
        <f t="shared" si="1"/>
        <v>0.85</v>
      </c>
      <c r="M18" s="97">
        <f t="shared" si="1"/>
        <v>0.85</v>
      </c>
      <c r="N18" s="97">
        <f t="shared" si="1"/>
        <v>0.85</v>
      </c>
      <c r="O18" s="98">
        <f>'SET SP Tarquí'!K8</f>
        <v>0.85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 t="shared" ref="C19:E19" si="2">IF((C21),C20/C21,"-")</f>
        <v>0.78892228650653407</v>
      </c>
      <c r="D19" s="10">
        <f t="shared" si="2"/>
        <v>0.73522244397600711</v>
      </c>
      <c r="E19" s="10">
        <f t="shared" si="2"/>
        <v>0.79736587226993283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 t="e">
        <f t="shared" si="3"/>
        <v>#REF!</v>
      </c>
      <c r="V19" s="7"/>
      <c r="W19" s="8"/>
      <c r="X19" s="8"/>
    </row>
    <row r="20" spans="1:24" ht="23.25" customHeight="1" x14ac:dyDescent="0.25">
      <c r="A20" s="269" t="s">
        <v>37</v>
      </c>
      <c r="B20" s="31" t="s">
        <v>130</v>
      </c>
      <c r="C20" s="49">
        <f>TARQUI2020!D$15+TARQUI2020!D$17+TARQUI2020!D$19</f>
        <v>43921119</v>
      </c>
      <c r="D20" s="49">
        <f>TARQUI2020!E$15+TARQUI2020!E$17+TARQUI2020!E$19</f>
        <v>50791464</v>
      </c>
      <c r="E20" s="49">
        <f>TARQUI2020!F$15+TARQUI2020!F$17+TARQUI2020!F$19</f>
        <v>42299510</v>
      </c>
      <c r="F20" s="49">
        <f>TARQUI2020!G$15+TARQUI2020!G$17+TARQUI2020!G$19</f>
        <v>0</v>
      </c>
      <c r="G20" s="49">
        <f>TARQUI2020!H$15+TARQUI2020!H$17+TARQUI2020!H$19</f>
        <v>0</v>
      </c>
      <c r="H20" s="49">
        <f>TARQUI2020!I$15+TARQUI2020!I$17+TARQUI2020!I$19</f>
        <v>0</v>
      </c>
      <c r="I20" s="49">
        <f>TARQUI2020!J$15+TARQUI2020!J$17+TARQUI2020!J$19</f>
        <v>0</v>
      </c>
      <c r="J20" s="49">
        <f>TARQUI2020!K$15+TARQUI2020!K$17+TARQUI2020!K$19</f>
        <v>0</v>
      </c>
      <c r="K20" s="49">
        <f>TARQUI2020!L$15+TARQUI2020!L$17+TARQUI2020!L$19</f>
        <v>0</v>
      </c>
      <c r="L20" s="49">
        <f>TARQUI2020!M$15+TARQUI2020!M$17+TARQUI2020!M$19</f>
        <v>0</v>
      </c>
      <c r="M20" s="49" t="e">
        <f>TARQUI2020!#REF!+TARQUI2020!N$17+TARQUI2020!N$19</f>
        <v>#REF!</v>
      </c>
      <c r="N20" s="49">
        <f>TARQUI2020!O$15+TARQUI2020!O$17+TARQUI2020!O$19</f>
        <v>0</v>
      </c>
      <c r="O20" s="50" t="e">
        <f>SUM(C20:N20)</f>
        <v>#REF!</v>
      </c>
      <c r="V20" s="7"/>
      <c r="W20" s="8"/>
      <c r="X20" s="8"/>
    </row>
    <row r="21" spans="1:24" ht="17.25" customHeight="1" x14ac:dyDescent="0.25">
      <c r="A21" s="269"/>
      <c r="B21" s="31" t="s">
        <v>129</v>
      </c>
      <c r="C21" s="49">
        <f>TARQUI2020!D$14+TARQUI2020!D$16+TARQUI2020!D$18</f>
        <v>55672301</v>
      </c>
      <c r="D21" s="49">
        <f>TARQUI2020!E$14+TARQUI2020!E$16+TARQUI2020!E$18</f>
        <v>69083125</v>
      </c>
      <c r="E21" s="49">
        <f>TARQUI2020!F$14+TARQUI2020!F$16+TARQUI2020!F$18</f>
        <v>53049060</v>
      </c>
      <c r="F21" s="49">
        <f>TARQUI2020!G$14+TARQUI2020!G$16+TARQUI2020!G$18</f>
        <v>64121899</v>
      </c>
      <c r="G21" s="49">
        <f>TARQUI2020!H$14+TARQUI2020!H$16+TARQUI2020!H$18</f>
        <v>0</v>
      </c>
      <c r="H21" s="49">
        <f>TARQUI2020!I$14+TARQUI2020!I$16+TARQUI2020!I$18</f>
        <v>0</v>
      </c>
      <c r="I21" s="49">
        <f>TARQUI2020!J$14+TARQUI2020!J$16+TARQUI2020!J$18</f>
        <v>0</v>
      </c>
      <c r="J21" s="49">
        <f>TARQUI2020!K$14+TARQUI2020!K$16+TARQUI2020!K$18</f>
        <v>0</v>
      </c>
      <c r="K21" s="49">
        <f>TARQUI2020!L$14+TARQUI2020!L$16+TARQUI2020!L$18</f>
        <v>0</v>
      </c>
      <c r="L21" s="49">
        <f>TARQUI2020!M$14+TARQUI2020!M$16+TARQUI2020!M$18</f>
        <v>0</v>
      </c>
      <c r="M21" s="49">
        <f>TARQUI2020!N$15+TARQUI2020!N$16+TARQUI2020!N$18</f>
        <v>0</v>
      </c>
      <c r="N21" s="49">
        <f>TARQUI2020!O$14+TARQUI2020!O$16+TARQUI2020!O$18</f>
        <v>0</v>
      </c>
      <c r="O21" s="50">
        <f>SUM(C21:N21)</f>
        <v>241926385</v>
      </c>
      <c r="V21" s="7"/>
      <c r="W21" s="8"/>
      <c r="X21" s="8"/>
    </row>
    <row r="22" spans="1:24" ht="17.25" customHeight="1" x14ac:dyDescent="0.25">
      <c r="A22" s="269"/>
      <c r="B22" s="3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0"/>
      <c r="B23" s="32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Tarquí'!$G8</f>
        <v>Entre 80% y 100%</v>
      </c>
      <c r="E24" s="261"/>
      <c r="F24" s="261"/>
      <c r="G24" s="262"/>
      <c r="H24" s="260" t="str">
        <f>'SET SP Tarquí'!$H8</f>
        <v>Entre 60% y 79%</v>
      </c>
      <c r="I24" s="261"/>
      <c r="J24" s="261"/>
      <c r="K24" s="262"/>
      <c r="L24" s="260" t="str">
        <f>'SET SP Tarquí'!$I8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9.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9.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9.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9.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9.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9.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9.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9.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9.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9.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9.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9.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24" customHeight="1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24" customHeight="1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24" customHeight="1" x14ac:dyDescent="0.25">
      <c r="A44" s="18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4"/>
      <c r="O44" s="185"/>
    </row>
    <row r="45" spans="1:17" ht="15.75" thickBot="1" x14ac:dyDescent="0.3">
      <c r="A45" s="186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8"/>
    </row>
    <row r="46" spans="1:17" ht="7.5" customHeight="1" x14ac:dyDescent="0.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</row>
    <row r="48" spans="1:17" ht="14.25" x14ac:dyDescent="0.2">
      <c r="Q48" s="40" t="s">
        <v>80</v>
      </c>
    </row>
    <row r="49" spans="17:17" ht="14.25" x14ac:dyDescent="0.2">
      <c r="Q49" s="40" t="s">
        <v>81</v>
      </c>
    </row>
    <row r="50" spans="17:17" ht="14.25" x14ac:dyDescent="0.2">
      <c r="Q50" s="40" t="s">
        <v>82</v>
      </c>
    </row>
    <row r="51" spans="17:17" ht="14.25" x14ac:dyDescent="0.2">
      <c r="Q51" s="40" t="s">
        <v>83</v>
      </c>
    </row>
    <row r="52" spans="17:17" ht="14.25" x14ac:dyDescent="0.2">
      <c r="Q52" s="40" t="s">
        <v>84</v>
      </c>
    </row>
    <row r="53" spans="17:17" ht="14.25" x14ac:dyDescent="0.2">
      <c r="Q53" s="40" t="s">
        <v>85</v>
      </c>
    </row>
    <row r="54" spans="17:17" ht="14.25" x14ac:dyDescent="0.2">
      <c r="Q54" s="40" t="s">
        <v>86</v>
      </c>
    </row>
    <row r="55" spans="17:17" ht="14.25" x14ac:dyDescent="0.2">
      <c r="Q55" s="40" t="s">
        <v>87</v>
      </c>
    </row>
    <row r="56" spans="17:17" ht="14.25" x14ac:dyDescent="0.2">
      <c r="Q56" s="40" t="s">
        <v>88</v>
      </c>
    </row>
    <row r="57" spans="17:17" ht="14.25" x14ac:dyDescent="0.2">
      <c r="Q57" s="40" t="s">
        <v>89</v>
      </c>
    </row>
    <row r="58" spans="17:17" ht="14.25" x14ac:dyDescent="0.2">
      <c r="Q58" s="40" t="s">
        <v>90</v>
      </c>
    </row>
    <row r="59" spans="17:17" ht="14.25" x14ac:dyDescent="0.2">
      <c r="Q59" s="40" t="s">
        <v>91</v>
      </c>
    </row>
    <row r="60" spans="17:17" ht="14.25" x14ac:dyDescent="0.2">
      <c r="Q60" s="40" t="s">
        <v>92</v>
      </c>
    </row>
    <row r="62" spans="17:17" x14ac:dyDescent="0.25">
      <c r="Q62" s="9">
        <v>0.85</v>
      </c>
    </row>
    <row r="63" spans="17:17" x14ac:dyDescent="0.25">
      <c r="Q63" s="9">
        <v>0.9</v>
      </c>
    </row>
  </sheetData>
  <mergeCells count="80">
    <mergeCell ref="N40:O40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N36:O36"/>
    <mergeCell ref="N37:O37"/>
    <mergeCell ref="N38:O38"/>
    <mergeCell ref="N39:O39"/>
    <mergeCell ref="A46:O46"/>
    <mergeCell ref="A27:O27"/>
    <mergeCell ref="D24:G24"/>
    <mergeCell ref="A17:B17"/>
    <mergeCell ref="L24:O24"/>
    <mergeCell ref="H24:K24"/>
    <mergeCell ref="A18:B18"/>
    <mergeCell ref="A19:B19"/>
    <mergeCell ref="A20:A23"/>
    <mergeCell ref="A24:C25"/>
    <mergeCell ref="D25:G25"/>
    <mergeCell ref="H25:K25"/>
    <mergeCell ref="A41:M41"/>
    <mergeCell ref="N41:O41"/>
    <mergeCell ref="A42:M42"/>
    <mergeCell ref="N42:O42"/>
    <mergeCell ref="L25:O25"/>
    <mergeCell ref="A26:O26"/>
    <mergeCell ref="A12:O12"/>
    <mergeCell ref="A13:O13"/>
    <mergeCell ref="A14:O14"/>
    <mergeCell ref="A15:O15"/>
    <mergeCell ref="A16:B16"/>
    <mergeCell ref="A7:E7"/>
    <mergeCell ref="N10:O10"/>
    <mergeCell ref="F7:O7"/>
    <mergeCell ref="A11:D11"/>
    <mergeCell ref="F11:G11"/>
    <mergeCell ref="J11:O11"/>
    <mergeCell ref="A8:E8"/>
    <mergeCell ref="G8:O8"/>
    <mergeCell ref="A9:D10"/>
    <mergeCell ref="E9:E10"/>
    <mergeCell ref="F9:G10"/>
    <mergeCell ref="H9:H10"/>
    <mergeCell ref="I9:I10"/>
    <mergeCell ref="J9:K10"/>
    <mergeCell ref="L9:O9"/>
    <mergeCell ref="L10:M10"/>
    <mergeCell ref="A1:C4"/>
    <mergeCell ref="A5:E5"/>
    <mergeCell ref="F5:O5"/>
    <mergeCell ref="A6:E6"/>
    <mergeCell ref="F6:O6"/>
    <mergeCell ref="D1:O1"/>
    <mergeCell ref="D4:O4"/>
    <mergeCell ref="D2:O2"/>
    <mergeCell ref="D3:O3"/>
    <mergeCell ref="N31:O31"/>
    <mergeCell ref="N32:O32"/>
    <mergeCell ref="N33:O33"/>
    <mergeCell ref="N34:O34"/>
    <mergeCell ref="N35:O35"/>
    <mergeCell ref="A28:M28"/>
    <mergeCell ref="N28:O28"/>
    <mergeCell ref="A29:M29"/>
    <mergeCell ref="N29:O29"/>
    <mergeCell ref="N30:O30"/>
    <mergeCell ref="A43:M43"/>
    <mergeCell ref="N43:O43"/>
    <mergeCell ref="A44:M44"/>
    <mergeCell ref="N44:O44"/>
    <mergeCell ref="A45:M45"/>
    <mergeCell ref="N45:O45"/>
  </mergeCells>
  <dataValidations disablePrompts="1" count="1">
    <dataValidation type="list" allowBlank="1" showInputMessage="1" showErrorMessage="1" sqref="J11:O11" xr:uid="{00000000-0002-0000-0100-000000000000}">
      <formula1>$Q$48:$Q$60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62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8.85546875" style="2" customWidth="1"/>
    <col min="4" max="4" width="9.140625" style="2" customWidth="1"/>
    <col min="5" max="5" width="8.85546875" style="2" customWidth="1"/>
    <col min="6" max="6" width="9.28515625" style="2" customWidth="1"/>
    <col min="7" max="8" width="9" style="2" customWidth="1"/>
    <col min="9" max="9" width="9.7109375" style="2" customWidth="1"/>
    <col min="10" max="10" width="9.28515625" style="2" customWidth="1"/>
    <col min="11" max="12" width="9" style="2" bestFit="1" customWidth="1"/>
    <col min="13" max="14" width="7.7109375" style="2" customWidth="1"/>
    <col min="15" max="15" width="10.28515625" style="2" customWidth="1"/>
    <col min="16" max="16" width="8" style="2" customWidth="1"/>
    <col min="17" max="18" width="8" style="2" hidden="1" customWidth="1"/>
    <col min="19" max="19" width="8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.7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7.2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Tarquí'!$B9</f>
        <v>Eficiencia de Recaudo Total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Tarquí'!F9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Tarquí'!A9</f>
        <v>IN02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45" customHeight="1" thickBot="1" x14ac:dyDescent="0.3">
      <c r="A11" s="220" t="str">
        <f>'SET SP Tarquí'!$C9</f>
        <v>Medir la eficiencia en el recaudo total de la prestación de los servicios pubicos domiciliarios de Aguas del Huila.</v>
      </c>
      <c r="B11" s="221"/>
      <c r="C11" s="221"/>
      <c r="D11" s="221"/>
      <c r="E11" s="14" t="s">
        <v>35</v>
      </c>
      <c r="F11" s="221" t="str">
        <f>'SET SP Tarquí'!$D9</f>
        <v>(Valor  Recaudado  Total Usuario Final / Valor  total Facturado usuario Final) x100%</v>
      </c>
      <c r="G11" s="221"/>
      <c r="H11" s="12">
        <f>$O18</f>
        <v>0.75</v>
      </c>
      <c r="I11" s="13" t="str">
        <f>'SET SP Tarquí'!$E9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35.2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86" t="s">
        <v>31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8"/>
      <c r="V14" s="7"/>
      <c r="W14" s="6"/>
      <c r="X14" s="6"/>
    </row>
    <row r="15" spans="1:24" ht="16.5" customHeight="1" x14ac:dyDescent="0.25">
      <c r="A15" s="251" t="str">
        <f>+'01'!A15:O15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0.64</v>
      </c>
      <c r="D17" s="52">
        <f t="shared" si="0"/>
        <v>0.64</v>
      </c>
      <c r="E17" s="52">
        <f t="shared" si="0"/>
        <v>0.64</v>
      </c>
      <c r="F17" s="52">
        <f t="shared" si="0"/>
        <v>0.64</v>
      </c>
      <c r="G17" s="52">
        <f t="shared" si="0"/>
        <v>0.64</v>
      </c>
      <c r="H17" s="52">
        <f t="shared" si="0"/>
        <v>0.64</v>
      </c>
      <c r="I17" s="52">
        <f t="shared" si="0"/>
        <v>0.64</v>
      </c>
      <c r="J17" s="52">
        <f t="shared" si="0"/>
        <v>0.64</v>
      </c>
      <c r="K17" s="52">
        <f t="shared" si="0"/>
        <v>0.64</v>
      </c>
      <c r="L17" s="52">
        <f t="shared" si="0"/>
        <v>0.64</v>
      </c>
      <c r="M17" s="52">
        <f t="shared" si="0"/>
        <v>0.64</v>
      </c>
      <c r="N17" s="52">
        <f t="shared" si="0"/>
        <v>0.64</v>
      </c>
      <c r="O17" s="98">
        <f>'SET SP Tarquí'!J9</f>
        <v>0.64</v>
      </c>
      <c r="V17" s="7"/>
      <c r="W17" s="8"/>
      <c r="X17" s="8"/>
    </row>
    <row r="18" spans="1:24" ht="17.25" customHeight="1" x14ac:dyDescent="0.25">
      <c r="A18" s="263" t="str">
        <f>+'01'!A18:B18</f>
        <v>META  AÑO 2025</v>
      </c>
      <c r="B18" s="264"/>
      <c r="C18" s="52">
        <f t="shared" ref="C18:N18" si="1">$O$18</f>
        <v>0.75</v>
      </c>
      <c r="D18" s="52">
        <f t="shared" si="1"/>
        <v>0.75</v>
      </c>
      <c r="E18" s="52">
        <f t="shared" si="1"/>
        <v>0.75</v>
      </c>
      <c r="F18" s="52">
        <f t="shared" si="1"/>
        <v>0.75</v>
      </c>
      <c r="G18" s="52">
        <f t="shared" si="1"/>
        <v>0.75</v>
      </c>
      <c r="H18" s="52">
        <f t="shared" si="1"/>
        <v>0.75</v>
      </c>
      <c r="I18" s="52">
        <f t="shared" si="1"/>
        <v>0.75</v>
      </c>
      <c r="J18" s="52">
        <f t="shared" si="1"/>
        <v>0.75</v>
      </c>
      <c r="K18" s="52">
        <f t="shared" si="1"/>
        <v>0.75</v>
      </c>
      <c r="L18" s="52">
        <f t="shared" si="1"/>
        <v>0.75</v>
      </c>
      <c r="M18" s="52">
        <f t="shared" si="1"/>
        <v>0.75</v>
      </c>
      <c r="N18" s="52">
        <f t="shared" si="1"/>
        <v>0.75</v>
      </c>
      <c r="O18" s="98">
        <f>'SET SP Tarquí'!K9</f>
        <v>0.75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 t="shared" ref="C19:E19" si="2">IF((C21),C20/C21,"-")</f>
        <v>0.77397981908910662</v>
      </c>
      <c r="D19" s="10">
        <f t="shared" si="2"/>
        <v>0.74383967071329138</v>
      </c>
      <c r="E19" s="10">
        <f t="shared" si="2"/>
        <v>0.80578809236044036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>
        <f t="shared" si="3"/>
        <v>0.58701257917212857</v>
      </c>
      <c r="V19" s="7"/>
      <c r="W19" s="8"/>
      <c r="X19" s="8"/>
    </row>
    <row r="20" spans="1:24" ht="18.75" customHeight="1" x14ac:dyDescent="0.25">
      <c r="A20" s="269" t="s">
        <v>37</v>
      </c>
      <c r="B20" s="31" t="s">
        <v>132</v>
      </c>
      <c r="C20" s="49">
        <f>TARQUI2020!D$27+TARQUI2020!D$29+TARQUI2020!D$31</f>
        <v>59233400</v>
      </c>
      <c r="D20" s="49">
        <f>TARQUI2020!E$27+TARQUI2020!E$29+TARQUI2020!E$31</f>
        <v>63336766</v>
      </c>
      <c r="E20" s="49">
        <f>TARQUI2020!F$27+TARQUI2020!F$29+TARQUI2020!F$31</f>
        <v>60040000</v>
      </c>
      <c r="F20" s="49">
        <f>TARQUI2020!G$27+TARQUI2020!G$29+TARQUI2020!G$31</f>
        <v>0</v>
      </c>
      <c r="G20" s="49">
        <f>TARQUI2020!H$27+TARQUI2020!H$29+TARQUI2020!H$31</f>
        <v>0</v>
      </c>
      <c r="H20" s="49">
        <f>TARQUI2020!I$27+TARQUI2020!I$29+TARQUI2020!I$31</f>
        <v>0</v>
      </c>
      <c r="I20" s="49">
        <f>TARQUI2020!J$27+TARQUI2020!J$29+TARQUI2020!J$31</f>
        <v>0</v>
      </c>
      <c r="J20" s="49">
        <f>TARQUI2020!K$27+TARQUI2020!K$29+TARQUI2020!K$31</f>
        <v>0</v>
      </c>
      <c r="K20" s="49">
        <f>TARQUI2020!L$27+TARQUI2020!L$29+TARQUI2020!L$31</f>
        <v>0</v>
      </c>
      <c r="L20" s="49">
        <f>TARQUI2020!M$27+TARQUI2020!M$29+TARQUI2020!M$31</f>
        <v>0</v>
      </c>
      <c r="M20" s="49">
        <f>TARQUI2020!N$27+TARQUI2020!N$29+TARQUI2020!N$31</f>
        <v>0</v>
      </c>
      <c r="N20" s="49">
        <f>TARQUI2020!O$27+TARQUI2020!O$29+TARQUI2020!O$31</f>
        <v>0</v>
      </c>
      <c r="O20" s="50">
        <f>SUM(C20:N20)</f>
        <v>182610166</v>
      </c>
      <c r="V20" s="7"/>
      <c r="W20" s="8"/>
      <c r="X20" s="8"/>
    </row>
    <row r="21" spans="1:24" ht="15.75" customHeight="1" x14ac:dyDescent="0.25">
      <c r="A21" s="269"/>
      <c r="B21" s="31" t="s">
        <v>131</v>
      </c>
      <c r="C21" s="49">
        <f>TARQUI2020!D$26+TARQUI2020!D$28+TARQUI2020!D$30</f>
        <v>76530936</v>
      </c>
      <c r="D21" s="49">
        <f>TARQUI2020!E$26+TARQUI2020!E$28+TARQUI2020!E$30</f>
        <v>85148411</v>
      </c>
      <c r="E21" s="49">
        <f>TARQUI2020!F$26+TARQUI2020!F$28+TARQUI2020!F$30</f>
        <v>74510905</v>
      </c>
      <c r="F21" s="49">
        <f>TARQUI2020!G$26+TARQUI2020!G$28+TARQUI2020!G$30</f>
        <v>74893654</v>
      </c>
      <c r="G21" s="49">
        <f>TARQUI2020!H$26+TARQUI2020!H$28+TARQUI2020!H$30</f>
        <v>0</v>
      </c>
      <c r="H21" s="49">
        <f>TARQUI2020!I$26+TARQUI2020!I$28+TARQUI2020!I$30</f>
        <v>0</v>
      </c>
      <c r="I21" s="49">
        <f>TARQUI2020!J$26+TARQUI2020!J$28+TARQUI2020!J$30</f>
        <v>0</v>
      </c>
      <c r="J21" s="49">
        <f>TARQUI2020!K$26+TARQUI2020!K$28+TARQUI2020!K$30</f>
        <v>0</v>
      </c>
      <c r="K21" s="49">
        <f>TARQUI2020!L$26+TARQUI2020!L$28+TARQUI2020!L$30</f>
        <v>0</v>
      </c>
      <c r="L21" s="49">
        <f>TARQUI2020!M$26+TARQUI2020!M$28+TARQUI2020!M$30</f>
        <v>0</v>
      </c>
      <c r="M21" s="49">
        <f>TARQUI2020!N$26+TARQUI2020!N$28+TARQUI2020!N$30</f>
        <v>0</v>
      </c>
      <c r="N21" s="49">
        <f>TARQUI2020!O$26+TARQUI2020!O$28+TARQUI2020!O$30</f>
        <v>0</v>
      </c>
      <c r="O21" s="50">
        <f>SUM(C21:N21)</f>
        <v>311083906</v>
      </c>
      <c r="V21" s="7"/>
      <c r="W21" s="8"/>
      <c r="X21" s="8"/>
    </row>
    <row r="22" spans="1:24" ht="17.2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33" customHeight="1" thickBot="1" x14ac:dyDescent="0.3">
      <c r="A24" s="271" t="s">
        <v>34</v>
      </c>
      <c r="B24" s="272"/>
      <c r="C24" s="273"/>
      <c r="D24" s="292" t="str">
        <f>'SET SP Tarquí'!$G9</f>
        <v>Entre 71% y 100%</v>
      </c>
      <c r="E24" s="293"/>
      <c r="F24" s="293"/>
      <c r="G24" s="294"/>
      <c r="H24" s="292" t="str">
        <f>'SET SP Tarquí'!$H9</f>
        <v>Entre 60% y 70%</v>
      </c>
      <c r="I24" s="293"/>
      <c r="J24" s="293"/>
      <c r="K24" s="294"/>
      <c r="L24" s="281" t="str">
        <f>'SET SP Tarquí'!$I9</f>
        <v>Menor al 59%</v>
      </c>
      <c r="M24" s="282"/>
      <c r="N24" s="282"/>
      <c r="O24" s="283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89"/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1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8.75" customHeight="1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8" customHeight="1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6.5" customHeight="1" thickBot="1" x14ac:dyDescent="0.3">
      <c r="A44" s="186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</row>
    <row r="45" spans="1:17" ht="6.75" customHeight="1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7" spans="1:17" ht="14.25" x14ac:dyDescent="0.2">
      <c r="Q47" s="40"/>
    </row>
    <row r="48" spans="1:17" ht="14.25" x14ac:dyDescent="0.2">
      <c r="Q48" s="40"/>
    </row>
    <row r="49" spans="17:17" ht="14.25" x14ac:dyDescent="0.2">
      <c r="Q49" s="40"/>
    </row>
    <row r="50" spans="17:17" ht="14.25" x14ac:dyDescent="0.2">
      <c r="Q50" s="40"/>
    </row>
    <row r="51" spans="17:17" ht="14.25" x14ac:dyDescent="0.2">
      <c r="Q51" s="40"/>
    </row>
    <row r="52" spans="17:17" ht="14.25" x14ac:dyDescent="0.2">
      <c r="Q52" s="40"/>
    </row>
    <row r="53" spans="17:17" ht="14.25" x14ac:dyDescent="0.2">
      <c r="Q53" s="40"/>
    </row>
    <row r="54" spans="17:17" ht="14.25" x14ac:dyDescent="0.2">
      <c r="Q54" s="40"/>
    </row>
    <row r="55" spans="17:17" ht="14.25" x14ac:dyDescent="0.2">
      <c r="Q55" s="40"/>
    </row>
    <row r="56" spans="17:17" ht="14.25" x14ac:dyDescent="0.2">
      <c r="Q56" s="40"/>
    </row>
    <row r="57" spans="17:17" ht="14.25" x14ac:dyDescent="0.2">
      <c r="Q57" s="40"/>
    </row>
    <row r="58" spans="17:17" ht="14.25" x14ac:dyDescent="0.2">
      <c r="Q58" s="40"/>
    </row>
    <row r="59" spans="17:17" ht="14.25" x14ac:dyDescent="0.2">
      <c r="Q59" s="40"/>
    </row>
    <row r="61" spans="17:17" x14ac:dyDescent="0.25">
      <c r="Q61" s="35"/>
    </row>
    <row r="62" spans="17:17" x14ac:dyDescent="0.25">
      <c r="Q62" s="35"/>
    </row>
  </sheetData>
  <mergeCells count="78">
    <mergeCell ref="N39:O39"/>
    <mergeCell ref="N40:O40"/>
    <mergeCell ref="N34:O34"/>
    <mergeCell ref="N35:O35"/>
    <mergeCell ref="N36:O36"/>
    <mergeCell ref="N37:O37"/>
    <mergeCell ref="N38:O38"/>
    <mergeCell ref="A36:M36"/>
    <mergeCell ref="A37:M37"/>
    <mergeCell ref="A38:M38"/>
    <mergeCell ref="N29:O29"/>
    <mergeCell ref="N30:O30"/>
    <mergeCell ref="N31:O31"/>
    <mergeCell ref="N32:O32"/>
    <mergeCell ref="N33:O33"/>
    <mergeCell ref="A45:O45"/>
    <mergeCell ref="A27:O27"/>
    <mergeCell ref="H24:K24"/>
    <mergeCell ref="A24:C25"/>
    <mergeCell ref="D24:G24"/>
    <mergeCell ref="A26:O26"/>
    <mergeCell ref="A44:M44"/>
    <mergeCell ref="N44:O44"/>
    <mergeCell ref="A28:M28"/>
    <mergeCell ref="N28:O28"/>
    <mergeCell ref="N41:O41"/>
    <mergeCell ref="A41:M41"/>
    <mergeCell ref="N42:O42"/>
    <mergeCell ref="A42:M42"/>
    <mergeCell ref="L25:O25"/>
    <mergeCell ref="A29:M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16:B16"/>
    <mergeCell ref="I9:I10"/>
    <mergeCell ref="J9:K10"/>
    <mergeCell ref="L9:O9"/>
    <mergeCell ref="L10:M10"/>
    <mergeCell ref="H9:H10"/>
    <mergeCell ref="N10:O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43:M43"/>
    <mergeCell ref="N43:O43"/>
    <mergeCell ref="A11:D11"/>
    <mergeCell ref="F11:G11"/>
    <mergeCell ref="L24:O24"/>
    <mergeCell ref="D25:G25"/>
    <mergeCell ref="H25:K25"/>
    <mergeCell ref="A13:O13"/>
    <mergeCell ref="A30:M30"/>
    <mergeCell ref="A31:M31"/>
    <mergeCell ref="A32:M32"/>
    <mergeCell ref="A33:M33"/>
    <mergeCell ref="A39:M39"/>
    <mergeCell ref="A40:M40"/>
    <mergeCell ref="A34:M34"/>
    <mergeCell ref="A35:M35"/>
  </mergeCells>
  <dataValidations count="1">
    <dataValidation type="list" allowBlank="1" showInputMessage="1" showErrorMessage="1" sqref="J11:O11" xr:uid="{00000000-0002-0000-02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2"/>
  <sheetViews>
    <sheetView topLeftCell="A28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" style="2" customWidth="1"/>
    <col min="4" max="4" width="9" style="2" bestFit="1" customWidth="1"/>
    <col min="5" max="5" width="10" style="2" customWidth="1"/>
    <col min="6" max="6" width="9.5703125" style="2" customWidth="1"/>
    <col min="7" max="7" width="9.85546875" style="2" customWidth="1"/>
    <col min="8" max="8" width="9.85546875" style="2" bestFit="1" customWidth="1"/>
    <col min="9" max="9" width="9.7109375" style="2" customWidth="1"/>
    <col min="10" max="14" width="9.85546875" style="2" bestFit="1" customWidth="1"/>
    <col min="15" max="15" width="10.140625" style="2" customWidth="1"/>
    <col min="16" max="16" width="6.5703125" style="2" customWidth="1"/>
    <col min="17" max="18" width="6.5703125" style="2" hidden="1" customWidth="1"/>
    <col min="19" max="19" width="6.5703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Tarquí'!$B10</f>
        <v xml:space="preserve">Rotación de Cartera 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Tarquí'!F10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Tarquí'!A10</f>
        <v>IN03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7" customHeight="1" thickBot="1" x14ac:dyDescent="0.3">
      <c r="A11" s="220" t="str">
        <f>'SET SP Tarquí'!$C10</f>
        <v>Controlar la cartera existentes de servicios publicos por edades con el fin de evaluar la rotación de la misma.</v>
      </c>
      <c r="B11" s="221"/>
      <c r="C11" s="221"/>
      <c r="D11" s="221"/>
      <c r="E11" s="14" t="s">
        <v>111</v>
      </c>
      <c r="F11" s="221" t="str">
        <f>'SET SP Tarquí'!$D10</f>
        <v>(Cuentas por Cobrar  a particulares y/o oficiales /  Valor Facturado Usuarios particulares y/o oficiales) x 365</v>
      </c>
      <c r="G11" s="221"/>
      <c r="H11" s="12">
        <f>$O18</f>
        <v>15</v>
      </c>
      <c r="I11" s="13" t="str">
        <f>'SET SP Tarquí'!$E10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86" t="s">
        <v>31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8"/>
      <c r="V14" s="7"/>
      <c r="W14" s="6"/>
      <c r="X14" s="6"/>
    </row>
    <row r="15" spans="1:24" ht="16.5" customHeight="1" x14ac:dyDescent="0.25">
      <c r="A15" s="251" t="str">
        <f>+'02'!A15:O15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20">
        <f t="shared" ref="C17:N17" si="0">$O$17</f>
        <v>16</v>
      </c>
      <c r="D17" s="20">
        <f t="shared" si="0"/>
        <v>16</v>
      </c>
      <c r="E17" s="20">
        <f t="shared" si="0"/>
        <v>16</v>
      </c>
      <c r="F17" s="20">
        <f t="shared" si="0"/>
        <v>16</v>
      </c>
      <c r="G17" s="20">
        <f t="shared" si="0"/>
        <v>16</v>
      </c>
      <c r="H17" s="20">
        <f t="shared" si="0"/>
        <v>16</v>
      </c>
      <c r="I17" s="20">
        <f t="shared" si="0"/>
        <v>16</v>
      </c>
      <c r="J17" s="20">
        <f t="shared" si="0"/>
        <v>16</v>
      </c>
      <c r="K17" s="20">
        <f t="shared" si="0"/>
        <v>16</v>
      </c>
      <c r="L17" s="20">
        <f t="shared" si="0"/>
        <v>16</v>
      </c>
      <c r="M17" s="20">
        <f t="shared" si="0"/>
        <v>16</v>
      </c>
      <c r="N17" s="20">
        <f t="shared" si="0"/>
        <v>16</v>
      </c>
      <c r="O17" s="99">
        <f>'SET SP Tarquí'!J10</f>
        <v>16</v>
      </c>
      <c r="V17" s="7"/>
      <c r="W17" s="8"/>
      <c r="X17" s="8"/>
    </row>
    <row r="18" spans="1:24" ht="17.25" customHeight="1" x14ac:dyDescent="0.25">
      <c r="A18" s="263" t="str">
        <f>+'02'!A18:B18</f>
        <v>META  AÑO 2025</v>
      </c>
      <c r="B18" s="264"/>
      <c r="C18" s="20">
        <f t="shared" ref="C18:N18" si="1">$O$18</f>
        <v>15</v>
      </c>
      <c r="D18" s="20">
        <f t="shared" si="1"/>
        <v>15</v>
      </c>
      <c r="E18" s="20">
        <f t="shared" si="1"/>
        <v>15</v>
      </c>
      <c r="F18" s="20">
        <f t="shared" si="1"/>
        <v>15</v>
      </c>
      <c r="G18" s="20">
        <f t="shared" si="1"/>
        <v>15</v>
      </c>
      <c r="H18" s="20">
        <f t="shared" si="1"/>
        <v>15</v>
      </c>
      <c r="I18" s="20">
        <f t="shared" si="1"/>
        <v>15</v>
      </c>
      <c r="J18" s="20">
        <f t="shared" si="1"/>
        <v>15</v>
      </c>
      <c r="K18" s="20">
        <f t="shared" si="1"/>
        <v>15</v>
      </c>
      <c r="L18" s="20">
        <f t="shared" si="1"/>
        <v>15</v>
      </c>
      <c r="M18" s="20">
        <f t="shared" si="1"/>
        <v>15</v>
      </c>
      <c r="N18" s="20">
        <f t="shared" si="1"/>
        <v>15</v>
      </c>
      <c r="O18" s="99">
        <f>'SET SP Tarquí'!K10</f>
        <v>15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46">
        <f>IF((C22),(C20/C22)*30,"-")</f>
        <v>9.3210819506095142</v>
      </c>
      <c r="D19" s="46">
        <f>IF((D22),(D20/D22)*60,"-")</f>
        <v>10.490114474059027</v>
      </c>
      <c r="E19" s="46">
        <f>IF((E22),(E20/E22)*90,"-")</f>
        <v>7.3247952247953965</v>
      </c>
      <c r="F19" s="46">
        <f>IF((F22),(F20/F22)*120,"-")</f>
        <v>37.148649495175981</v>
      </c>
      <c r="G19" s="46">
        <f>IF((G22),(G20/G22)*150,"-")</f>
        <v>0</v>
      </c>
      <c r="H19" s="46">
        <f>IF((H22),(H20/H22)*180,"-")</f>
        <v>0</v>
      </c>
      <c r="I19" s="46">
        <f>IF((I22),(I20/I22)*220,"-")</f>
        <v>0</v>
      </c>
      <c r="J19" s="46">
        <f>IF((J22),(J20/J22)*250,"-")</f>
        <v>0</v>
      </c>
      <c r="K19" s="46">
        <f>IF((K22),(K20/K22)*280,"-")</f>
        <v>0</v>
      </c>
      <c r="L19" s="46">
        <f>IF((L22),(L20/L22)*310,"-")</f>
        <v>0</v>
      </c>
      <c r="M19" s="46">
        <f>IF((M22),(M20/M22)*330,"-")</f>
        <v>0</v>
      </c>
      <c r="N19" s="46">
        <f>IF((N22),(N20/N22)*365,"-")</f>
        <v>0</v>
      </c>
      <c r="O19" s="47">
        <f t="shared" ref="O19" si="2">IF((O22),(O20/O22)*365,"-")</f>
        <v>16.152611568184263</v>
      </c>
      <c r="V19" s="7"/>
      <c r="W19" s="8"/>
      <c r="X19" s="8"/>
    </row>
    <row r="20" spans="1:24" ht="24.75" customHeight="1" x14ac:dyDescent="0.25">
      <c r="A20" s="269" t="s">
        <v>37</v>
      </c>
      <c r="B20" s="31" t="s">
        <v>133</v>
      </c>
      <c r="C20" s="49">
        <f>+TARQUI2020!D37</f>
        <v>17297536</v>
      </c>
      <c r="D20" s="49">
        <f>+TARQUI2020!E37</f>
        <v>21811645</v>
      </c>
      <c r="E20" s="49">
        <f>+TARQUI2020!F37</f>
        <v>14470905</v>
      </c>
      <c r="F20" s="49">
        <f>+TARQUI2020!G37</f>
        <v>74893654</v>
      </c>
      <c r="G20" s="49">
        <f>+TARQUI2020!H37</f>
        <v>0</v>
      </c>
      <c r="H20" s="49">
        <f>+TARQUI2020!I37</f>
        <v>0</v>
      </c>
      <c r="I20" s="49">
        <f>+TARQUI2020!J37</f>
        <v>0</v>
      </c>
      <c r="J20" s="49">
        <f>+TARQUI2020!K37</f>
        <v>0</v>
      </c>
      <c r="K20" s="49">
        <f>+TARQUI2020!L37</f>
        <v>0</v>
      </c>
      <c r="L20" s="49">
        <f>+TARQUI2020!M37</f>
        <v>0</v>
      </c>
      <c r="M20" s="49">
        <f>+TARQUI2020!N37</f>
        <v>0</v>
      </c>
      <c r="N20" s="49">
        <f>+TARQUI2020!O37</f>
        <v>0</v>
      </c>
      <c r="O20" s="50">
        <f>AVERAGE(C20:N20)</f>
        <v>10706145</v>
      </c>
      <c r="V20" s="7"/>
      <c r="W20" s="8"/>
      <c r="X20" s="8"/>
    </row>
    <row r="21" spans="1:24" ht="24.75" customHeight="1" x14ac:dyDescent="0.25">
      <c r="A21" s="269"/>
      <c r="B21" s="31" t="s">
        <v>247</v>
      </c>
      <c r="C21" s="49">
        <f>'01'!C21</f>
        <v>55672301</v>
      </c>
      <c r="D21" s="49">
        <f>'01'!D21</f>
        <v>69083125</v>
      </c>
      <c r="E21" s="49">
        <f>'01'!E21</f>
        <v>53049060</v>
      </c>
      <c r="F21" s="49">
        <f>'01'!F21</f>
        <v>64121899</v>
      </c>
      <c r="G21" s="49">
        <f>'01'!G21</f>
        <v>0</v>
      </c>
      <c r="H21" s="49">
        <f>'01'!H21</f>
        <v>0</v>
      </c>
      <c r="I21" s="49">
        <f>'01'!I21</f>
        <v>0</v>
      </c>
      <c r="J21" s="49">
        <f>'01'!J21</f>
        <v>0</v>
      </c>
      <c r="K21" s="49">
        <f>'01'!K21</f>
        <v>0</v>
      </c>
      <c r="L21" s="49">
        <f>'01'!L21</f>
        <v>0</v>
      </c>
      <c r="M21" s="49">
        <f>'01'!M21</f>
        <v>0</v>
      </c>
      <c r="N21" s="49">
        <f>'01'!N21</f>
        <v>0</v>
      </c>
      <c r="O21" s="50">
        <f>SUM(C21:N21)</f>
        <v>241926385</v>
      </c>
      <c r="V21" s="7"/>
      <c r="W21" s="8"/>
      <c r="X21" s="8"/>
    </row>
    <row r="22" spans="1:24" ht="23.25" customHeight="1" x14ac:dyDescent="0.25">
      <c r="A22" s="269"/>
      <c r="B22" s="31" t="s">
        <v>248</v>
      </c>
      <c r="C22" s="49">
        <f>C21</f>
        <v>55672301</v>
      </c>
      <c r="D22" s="49">
        <f>C22+D21</f>
        <v>124755426</v>
      </c>
      <c r="E22" s="49">
        <f t="shared" ref="E22:J22" si="3">D22+E21</f>
        <v>177804486</v>
      </c>
      <c r="F22" s="49">
        <f t="shared" si="3"/>
        <v>241926385</v>
      </c>
      <c r="G22" s="49">
        <f t="shared" si="3"/>
        <v>241926385</v>
      </c>
      <c r="H22" s="49">
        <f>G22+H21</f>
        <v>241926385</v>
      </c>
      <c r="I22" s="49">
        <f t="shared" si="3"/>
        <v>241926385</v>
      </c>
      <c r="J22" s="49">
        <f t="shared" si="3"/>
        <v>241926385</v>
      </c>
      <c r="K22" s="49">
        <f t="shared" ref="K22" si="4">J22+K21</f>
        <v>241926385</v>
      </c>
      <c r="L22" s="49">
        <f t="shared" ref="L22" si="5">K22+L21</f>
        <v>241926385</v>
      </c>
      <c r="M22" s="49">
        <f t="shared" ref="M22" si="6">L22+M21</f>
        <v>241926385</v>
      </c>
      <c r="N22" s="49">
        <f t="shared" ref="N22" si="7">M22+N21</f>
        <v>241926385</v>
      </c>
      <c r="O22" s="50">
        <f>MAX(C22:N22)</f>
        <v>241926385</v>
      </c>
      <c r="V22" s="7"/>
      <c r="W22" s="8"/>
      <c r="X22" s="8"/>
    </row>
    <row r="23" spans="1:24" ht="17.25" customHeight="1" x14ac:dyDescent="0.25">
      <c r="A23" s="269"/>
      <c r="B23" s="6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70"/>
      <c r="B24" s="63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71" t="s">
        <v>34</v>
      </c>
      <c r="B25" s="272"/>
      <c r="C25" s="273"/>
      <c r="D25" s="260" t="str">
        <f>'SET SP Tarquí'!$G10</f>
        <v>Menor a 31 días</v>
      </c>
      <c r="E25" s="261"/>
      <c r="F25" s="261"/>
      <c r="G25" s="262"/>
      <c r="H25" s="260" t="str">
        <f>'SET SP Tarquí'!$H10</f>
        <v>Entre 31 y 45 días</v>
      </c>
      <c r="I25" s="261"/>
      <c r="J25" s="261"/>
      <c r="K25" s="262"/>
      <c r="L25" s="260" t="str">
        <f>'SET SP Tarquí'!$I10</f>
        <v>Mayor a 45 días</v>
      </c>
      <c r="M25" s="265"/>
      <c r="N25" s="265"/>
      <c r="O25" s="266"/>
      <c r="V25" s="7"/>
      <c r="W25" s="8"/>
      <c r="X25" s="8"/>
    </row>
    <row r="26" spans="1:24" ht="33" customHeight="1" thickBot="1" x14ac:dyDescent="0.3">
      <c r="A26" s="274"/>
      <c r="B26" s="275"/>
      <c r="C26" s="275"/>
      <c r="D26" s="276" t="s">
        <v>7</v>
      </c>
      <c r="E26" s="276"/>
      <c r="F26" s="276"/>
      <c r="G26" s="276"/>
      <c r="H26" s="277" t="s">
        <v>61</v>
      </c>
      <c r="I26" s="277"/>
      <c r="J26" s="277"/>
      <c r="K26" s="277"/>
      <c r="L26" s="237" t="s">
        <v>62</v>
      </c>
      <c r="M26" s="237"/>
      <c r="N26" s="237"/>
      <c r="O26" s="238"/>
      <c r="V26" s="7"/>
      <c r="W26" s="8"/>
      <c r="X26" s="8"/>
    </row>
    <row r="27" spans="1:24" ht="15.75" customHeight="1" thickBot="1" x14ac:dyDescent="0.3">
      <c r="A27" s="239" t="s">
        <v>36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1"/>
      <c r="V27" s="7"/>
      <c r="W27" s="8"/>
      <c r="X27" s="8"/>
    </row>
    <row r="28" spans="1:24" ht="264.75" customHeight="1" thickBot="1" x14ac:dyDescent="0.3">
      <c r="A28" s="257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9"/>
      <c r="V28" s="7"/>
    </row>
    <row r="29" spans="1:24" ht="15" customHeight="1" x14ac:dyDescent="0.25">
      <c r="A29" s="189" t="s">
        <v>58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1" t="s">
        <v>60</v>
      </c>
      <c r="O29" s="192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45658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45689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45717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45748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45778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45809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45839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45870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45901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45931</v>
      </c>
      <c r="O39" s="194"/>
    </row>
    <row r="40" spans="1:17" ht="15" customHeight="1" x14ac:dyDescent="0.25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93">
        <v>45962</v>
      </c>
      <c r="O40" s="194"/>
    </row>
    <row r="41" spans="1:17" ht="15" customHeight="1" thickBot="1" x14ac:dyDescent="0.3">
      <c r="A41" s="278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80"/>
      <c r="N41" s="193">
        <v>45992</v>
      </c>
      <c r="O41" s="194"/>
    </row>
    <row r="42" spans="1:17" ht="19.5" customHeight="1" x14ac:dyDescent="0.25">
      <c r="A42" s="189" t="s">
        <v>59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1" t="s">
        <v>60</v>
      </c>
      <c r="O42" s="192"/>
    </row>
    <row r="43" spans="1:17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.75" thickBot="1" x14ac:dyDescent="0.3">
      <c r="A44" s="186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</row>
    <row r="45" spans="1:17" ht="5.25" customHeight="1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43">
        <v>32</v>
      </c>
    </row>
    <row r="62" spans="17:17" x14ac:dyDescent="0.25">
      <c r="Q62" s="43">
        <v>30</v>
      </c>
    </row>
  </sheetData>
  <mergeCells count="76"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A28:O28"/>
    <mergeCell ref="D2:O2"/>
    <mergeCell ref="D3:O3"/>
    <mergeCell ref="D26:G26"/>
    <mergeCell ref="H26:K26"/>
    <mergeCell ref="L26:O26"/>
    <mergeCell ref="A36:M36"/>
    <mergeCell ref="N36:O36"/>
    <mergeCell ref="A34:M34"/>
    <mergeCell ref="N34:O34"/>
    <mergeCell ref="A35:M35"/>
    <mergeCell ref="N35:O35"/>
    <mergeCell ref="N10:O10"/>
    <mergeCell ref="J9:K10"/>
    <mergeCell ref="L9:O9"/>
    <mergeCell ref="L10:M10"/>
    <mergeCell ref="A9:D10"/>
    <mergeCell ref="E9:E10"/>
    <mergeCell ref="F9:G10"/>
    <mergeCell ref="H9:H10"/>
    <mergeCell ref="I9:I10"/>
    <mergeCell ref="A16:B16"/>
    <mergeCell ref="A11:D11"/>
    <mergeCell ref="F11:G11"/>
    <mergeCell ref="L25:O25"/>
    <mergeCell ref="A18:B18"/>
    <mergeCell ref="A19:B19"/>
    <mergeCell ref="A20:A24"/>
    <mergeCell ref="A17:B17"/>
    <mergeCell ref="D25:G25"/>
    <mergeCell ref="J11:O11"/>
    <mergeCell ref="A12:O12"/>
    <mergeCell ref="A13:O13"/>
    <mergeCell ref="A14:O14"/>
    <mergeCell ref="A15:O15"/>
    <mergeCell ref="H25:K25"/>
    <mergeCell ref="A25:C26"/>
    <mergeCell ref="A44:M44"/>
    <mergeCell ref="N44:O44"/>
    <mergeCell ref="A29:M29"/>
    <mergeCell ref="N29:O29"/>
    <mergeCell ref="A42:M42"/>
    <mergeCell ref="N42:O42"/>
    <mergeCell ref="A43:M43"/>
    <mergeCell ref="N43:O43"/>
    <mergeCell ref="A30:M30"/>
    <mergeCell ref="N30:O30"/>
    <mergeCell ref="A31:M31"/>
    <mergeCell ref="N31:O31"/>
    <mergeCell ref="A32:M32"/>
    <mergeCell ref="N32:O32"/>
    <mergeCell ref="A33:M33"/>
    <mergeCell ref="N33:O33"/>
  </mergeCells>
  <dataValidations disablePrompts="1" count="1">
    <dataValidation type="list" allowBlank="1" showInputMessage="1" showErrorMessage="1" sqref="J11:O11" xr:uid="{00000000-0002-0000-03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62"/>
  <sheetViews>
    <sheetView topLeftCell="A28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5" width="9.28515625" style="2" customWidth="1"/>
    <col min="6" max="6" width="9" style="2" customWidth="1"/>
    <col min="7" max="7" width="9.140625" style="2" customWidth="1"/>
    <col min="8" max="8" width="9" style="2" customWidth="1"/>
    <col min="9" max="14" width="9.28515625" style="2" customWidth="1"/>
    <col min="15" max="15" width="9.140625" style="2" customWidth="1"/>
    <col min="16" max="16" width="8.7109375" style="2" customWidth="1"/>
    <col min="17" max="18" width="8.7109375" style="2" hidden="1" customWidth="1"/>
    <col min="19" max="19" width="8.71093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4.2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.7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Tarquí'!$B11</f>
        <v>Ejecución de inversiones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Tarquí'!F11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Tarquí'!A11</f>
        <v>IN04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39" customHeight="1" thickBot="1" x14ac:dyDescent="0.3">
      <c r="A11" s="220" t="str">
        <f>'SET SP Tarquí'!$C11</f>
        <v>Realizar el seguimiento a la ejecución de la inversión establecida para la vigencia fiscal respectiva.</v>
      </c>
      <c r="B11" s="221"/>
      <c r="C11" s="221"/>
      <c r="D11" s="221"/>
      <c r="E11" s="14" t="s">
        <v>35</v>
      </c>
      <c r="F11" s="221" t="str">
        <f>'SET SP Tarquí'!$D11</f>
        <v xml:space="preserve">(Inversión realizada / Inversión presupuestada) x 100% </v>
      </c>
      <c r="G11" s="221"/>
      <c r="H11" s="30">
        <f>$O18</f>
        <v>1</v>
      </c>
      <c r="I11" s="13" t="str">
        <f>'SET SP Tarquí'!$E11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+'03'!A15:O15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0.92</v>
      </c>
      <c r="D17" s="52">
        <f t="shared" si="0"/>
        <v>0.92</v>
      </c>
      <c r="E17" s="52">
        <f t="shared" si="0"/>
        <v>0.92</v>
      </c>
      <c r="F17" s="52">
        <f t="shared" si="0"/>
        <v>0.92</v>
      </c>
      <c r="G17" s="52">
        <f t="shared" si="0"/>
        <v>0.92</v>
      </c>
      <c r="H17" s="52">
        <f t="shared" si="0"/>
        <v>0.92</v>
      </c>
      <c r="I17" s="52">
        <f t="shared" si="0"/>
        <v>0.92</v>
      </c>
      <c r="J17" s="52">
        <f t="shared" si="0"/>
        <v>0.92</v>
      </c>
      <c r="K17" s="52">
        <f t="shared" si="0"/>
        <v>0.92</v>
      </c>
      <c r="L17" s="52">
        <f t="shared" si="0"/>
        <v>0.92</v>
      </c>
      <c r="M17" s="52">
        <f t="shared" si="0"/>
        <v>0.92</v>
      </c>
      <c r="N17" s="52">
        <f t="shared" si="0"/>
        <v>0.92</v>
      </c>
      <c r="O17" s="100">
        <f>'SET SP Tarquí'!J11</f>
        <v>0.92</v>
      </c>
      <c r="V17" s="7"/>
      <c r="W17" s="8"/>
      <c r="X17" s="8"/>
    </row>
    <row r="18" spans="1:24" ht="17.25" customHeight="1" x14ac:dyDescent="0.25">
      <c r="A18" s="263" t="str">
        <f>+'03'!A18:B18</f>
        <v>META  AÑO 2025</v>
      </c>
      <c r="B18" s="264"/>
      <c r="C18" s="52">
        <f t="shared" ref="C18:N18" si="1">$O$18</f>
        <v>1</v>
      </c>
      <c r="D18" s="52">
        <f t="shared" si="1"/>
        <v>1</v>
      </c>
      <c r="E18" s="52">
        <f t="shared" si="1"/>
        <v>1</v>
      </c>
      <c r="F18" s="52">
        <f t="shared" si="1"/>
        <v>1</v>
      </c>
      <c r="G18" s="52">
        <f t="shared" si="1"/>
        <v>1</v>
      </c>
      <c r="H18" s="52">
        <f t="shared" si="1"/>
        <v>1</v>
      </c>
      <c r="I18" s="52">
        <f t="shared" si="1"/>
        <v>1</v>
      </c>
      <c r="J18" s="52">
        <f t="shared" si="1"/>
        <v>1</v>
      </c>
      <c r="K18" s="52">
        <f t="shared" si="1"/>
        <v>1</v>
      </c>
      <c r="L18" s="52">
        <f t="shared" si="1"/>
        <v>1</v>
      </c>
      <c r="M18" s="52">
        <f t="shared" si="1"/>
        <v>1</v>
      </c>
      <c r="N18" s="52">
        <f t="shared" si="1"/>
        <v>1</v>
      </c>
      <c r="O18" s="100">
        <f>'SET SP Tarquí'!K11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 t="str">
        <f t="shared" ref="C19:O19" si="2">IF((C22),C21/C22,"-")</f>
        <v>-</v>
      </c>
      <c r="D19" s="10" t="str">
        <f t="shared" si="2"/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si="2"/>
        <v>-</v>
      </c>
      <c r="V19" s="7"/>
      <c r="W19" s="8"/>
      <c r="X19" s="8"/>
    </row>
    <row r="20" spans="1:24" ht="17.25" customHeight="1" x14ac:dyDescent="0.25">
      <c r="A20" s="269" t="s">
        <v>37</v>
      </c>
      <c r="B20" s="31" t="s">
        <v>169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50">
        <f>MAX(C20:N20)</f>
        <v>0</v>
      </c>
      <c r="V20" s="7"/>
      <c r="W20" s="8"/>
      <c r="X20" s="8"/>
    </row>
    <row r="21" spans="1:24" ht="17.25" customHeight="1" x14ac:dyDescent="0.25">
      <c r="A21" s="269"/>
      <c r="B21" s="31" t="s">
        <v>170</v>
      </c>
      <c r="C21" s="49">
        <f>C20</f>
        <v>0</v>
      </c>
      <c r="D21" s="49">
        <f>C21+D20</f>
        <v>0</v>
      </c>
      <c r="E21" s="49">
        <f t="shared" ref="E21:J21" si="3">D21+E20</f>
        <v>0</v>
      </c>
      <c r="F21" s="49">
        <f t="shared" si="3"/>
        <v>0</v>
      </c>
      <c r="G21" s="49">
        <f t="shared" si="3"/>
        <v>0</v>
      </c>
      <c r="H21" s="49">
        <f t="shared" si="3"/>
        <v>0</v>
      </c>
      <c r="I21" s="49">
        <f t="shared" si="3"/>
        <v>0</v>
      </c>
      <c r="J21" s="49">
        <f t="shared" si="3"/>
        <v>0</v>
      </c>
      <c r="K21" s="49">
        <f t="shared" ref="K21" si="4">J21+K20</f>
        <v>0</v>
      </c>
      <c r="L21" s="49">
        <f t="shared" ref="L21" si="5">K21+L20</f>
        <v>0</v>
      </c>
      <c r="M21" s="49">
        <f t="shared" ref="M21" si="6">L21+M20</f>
        <v>0</v>
      </c>
      <c r="N21" s="49">
        <f t="shared" ref="N21" si="7">M21+N20</f>
        <v>0</v>
      </c>
      <c r="O21" s="50">
        <f>MAX(C21:N21)</f>
        <v>0</v>
      </c>
      <c r="V21" s="7"/>
      <c r="W21" s="8"/>
      <c r="X21" s="8"/>
    </row>
    <row r="22" spans="1:24" ht="13.5" customHeight="1" x14ac:dyDescent="0.25">
      <c r="A22" s="269"/>
      <c r="B22" s="31" t="s">
        <v>134</v>
      </c>
      <c r="C22" s="49">
        <v>0</v>
      </c>
      <c r="D22" s="49">
        <f>+C22</f>
        <v>0</v>
      </c>
      <c r="E22" s="49">
        <f t="shared" ref="E22:J22" si="8">+D22</f>
        <v>0</v>
      </c>
      <c r="F22" s="49">
        <f t="shared" si="8"/>
        <v>0</v>
      </c>
      <c r="G22" s="49">
        <f t="shared" si="8"/>
        <v>0</v>
      </c>
      <c r="H22" s="49">
        <f t="shared" si="8"/>
        <v>0</v>
      </c>
      <c r="I22" s="49">
        <f t="shared" si="8"/>
        <v>0</v>
      </c>
      <c r="J22" s="49">
        <f t="shared" si="8"/>
        <v>0</v>
      </c>
      <c r="K22" s="49">
        <f t="shared" ref="K22" si="9">+J22</f>
        <v>0</v>
      </c>
      <c r="L22" s="49">
        <f t="shared" ref="L22" si="10">+K22</f>
        <v>0</v>
      </c>
      <c r="M22" s="49">
        <f t="shared" ref="M22" si="11">+L22</f>
        <v>0</v>
      </c>
      <c r="N22" s="49">
        <f t="shared" ref="N22" si="12">+M22</f>
        <v>0</v>
      </c>
      <c r="O22" s="50">
        <f>MAX(C22:N22)</f>
        <v>0</v>
      </c>
      <c r="V22" s="7"/>
      <c r="W22" s="8"/>
      <c r="X22" s="8"/>
    </row>
    <row r="23" spans="1:24" ht="17.25" customHeight="1" x14ac:dyDescent="0.25">
      <c r="A23" s="269"/>
      <c r="B23" s="6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70"/>
      <c r="B24" s="63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71" t="s">
        <v>34</v>
      </c>
      <c r="B25" s="272"/>
      <c r="C25" s="273"/>
      <c r="D25" s="260" t="str">
        <f>'SET SP Tarquí'!$G11</f>
        <v>Entre 80% y 100%</v>
      </c>
      <c r="E25" s="261"/>
      <c r="F25" s="261"/>
      <c r="G25" s="262"/>
      <c r="H25" s="260" t="str">
        <f>'SET SP Tarquí'!$H11</f>
        <v>Entre 60% y 79%</v>
      </c>
      <c r="I25" s="261"/>
      <c r="J25" s="261"/>
      <c r="K25" s="262"/>
      <c r="L25" s="260" t="str">
        <f>'SET SP Tarquí'!$I11</f>
        <v>Menor al 59%</v>
      </c>
      <c r="M25" s="265"/>
      <c r="N25" s="265"/>
      <c r="O25" s="266"/>
      <c r="V25" s="7"/>
      <c r="W25" s="8"/>
      <c r="X25" s="8"/>
    </row>
    <row r="26" spans="1:24" ht="33" customHeight="1" thickBot="1" x14ac:dyDescent="0.3">
      <c r="A26" s="274"/>
      <c r="B26" s="275"/>
      <c r="C26" s="275"/>
      <c r="D26" s="276" t="s">
        <v>7</v>
      </c>
      <c r="E26" s="276"/>
      <c r="F26" s="276"/>
      <c r="G26" s="276"/>
      <c r="H26" s="277" t="s">
        <v>61</v>
      </c>
      <c r="I26" s="277"/>
      <c r="J26" s="277"/>
      <c r="K26" s="277"/>
      <c r="L26" s="237" t="s">
        <v>62</v>
      </c>
      <c r="M26" s="237"/>
      <c r="N26" s="237"/>
      <c r="O26" s="238"/>
      <c r="V26" s="7"/>
      <c r="W26" s="8"/>
      <c r="X26" s="8"/>
    </row>
    <row r="27" spans="1:24" ht="15.75" customHeight="1" thickBot="1" x14ac:dyDescent="0.3">
      <c r="A27" s="239" t="s">
        <v>36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1"/>
      <c r="V27" s="7"/>
      <c r="W27" s="8"/>
      <c r="X27" s="8"/>
    </row>
    <row r="28" spans="1:24" ht="264.75" customHeight="1" thickBot="1" x14ac:dyDescent="0.3">
      <c r="A28" s="257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9"/>
      <c r="V28" s="7"/>
    </row>
    <row r="29" spans="1:24" ht="15" customHeight="1" x14ac:dyDescent="0.25">
      <c r="A29" s="189" t="s">
        <v>58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1" t="s">
        <v>60</v>
      </c>
      <c r="O29" s="192"/>
    </row>
    <row r="30" spans="1:24" ht="15" customHeight="1" x14ac:dyDescent="0.25">
      <c r="A30" s="182" t="s">
        <v>265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45658</v>
      </c>
      <c r="O30" s="194"/>
    </row>
    <row r="31" spans="1:24" ht="15" customHeight="1" x14ac:dyDescent="0.25">
      <c r="A31" s="182" t="s">
        <v>265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45689</v>
      </c>
      <c r="O31" s="194"/>
    </row>
    <row r="32" spans="1:24" ht="15" customHeight="1" x14ac:dyDescent="0.25">
      <c r="A32" s="182" t="s">
        <v>265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45717</v>
      </c>
      <c r="O32" s="194"/>
    </row>
    <row r="33" spans="1:17" ht="15" customHeight="1" x14ac:dyDescent="0.25">
      <c r="A33" s="182" t="s">
        <v>265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45748</v>
      </c>
      <c r="O33" s="194"/>
    </row>
    <row r="34" spans="1:17" ht="15" customHeight="1" x14ac:dyDescent="0.25">
      <c r="A34" s="182" t="s">
        <v>265</v>
      </c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45778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45809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45839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45870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45901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45931</v>
      </c>
      <c r="O39" s="194"/>
    </row>
    <row r="40" spans="1:17" ht="15" customHeight="1" x14ac:dyDescent="0.25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93">
        <v>45962</v>
      </c>
      <c r="O40" s="194"/>
    </row>
    <row r="41" spans="1:17" ht="15" customHeight="1" thickBot="1" x14ac:dyDescent="0.3">
      <c r="A41" s="278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80"/>
      <c r="N41" s="193">
        <v>45992</v>
      </c>
      <c r="O41" s="194"/>
    </row>
    <row r="42" spans="1:17" ht="19.5" customHeight="1" x14ac:dyDescent="0.25">
      <c r="A42" s="189" t="s">
        <v>59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1" t="s">
        <v>60</v>
      </c>
      <c r="O42" s="192"/>
    </row>
    <row r="43" spans="1:17" ht="14.25" customHeight="1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.75" thickBot="1" x14ac:dyDescent="0.3">
      <c r="A44" s="186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</row>
    <row r="45" spans="1:17" ht="5.25" customHeight="1" x14ac:dyDescent="0.25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0.92</v>
      </c>
    </row>
    <row r="62" spans="17:17" x14ac:dyDescent="0.25">
      <c r="Q62" s="35">
        <v>1</v>
      </c>
    </row>
  </sheetData>
  <mergeCells count="76">
    <mergeCell ref="D2:O2"/>
    <mergeCell ref="D3:O3"/>
    <mergeCell ref="A30:M30"/>
    <mergeCell ref="N30:O30"/>
    <mergeCell ref="A31:M31"/>
    <mergeCell ref="N31:O31"/>
    <mergeCell ref="D26:G26"/>
    <mergeCell ref="H26:K26"/>
    <mergeCell ref="L26:O26"/>
    <mergeCell ref="N10:O10"/>
    <mergeCell ref="J9:K10"/>
    <mergeCell ref="L9:O9"/>
    <mergeCell ref="L10:M10"/>
    <mergeCell ref="A9:D10"/>
    <mergeCell ref="E9:E10"/>
    <mergeCell ref="F9:G10"/>
    <mergeCell ref="A32:M32"/>
    <mergeCell ref="N32:O32"/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A28:O28"/>
    <mergeCell ref="H25:K25"/>
    <mergeCell ref="A25:C26"/>
    <mergeCell ref="H9:H10"/>
    <mergeCell ref="I9:I10"/>
    <mergeCell ref="A16:B16"/>
    <mergeCell ref="A11:D11"/>
    <mergeCell ref="F11:G11"/>
    <mergeCell ref="L25:O25"/>
    <mergeCell ref="A18:B18"/>
    <mergeCell ref="A19:B19"/>
    <mergeCell ref="A20:A24"/>
    <mergeCell ref="A17:B17"/>
    <mergeCell ref="D25:G25"/>
    <mergeCell ref="J11:O11"/>
    <mergeCell ref="A12:O12"/>
    <mergeCell ref="A13:O13"/>
    <mergeCell ref="A14:O14"/>
    <mergeCell ref="A15:O15"/>
    <mergeCell ref="A44:M44"/>
    <mergeCell ref="N44:O44"/>
    <mergeCell ref="A29:M29"/>
    <mergeCell ref="N29:O29"/>
    <mergeCell ref="A42:M42"/>
    <mergeCell ref="N42:O42"/>
    <mergeCell ref="A43:M43"/>
    <mergeCell ref="N43:O43"/>
    <mergeCell ref="A33:M33"/>
    <mergeCell ref="N33:O33"/>
    <mergeCell ref="A34:M34"/>
    <mergeCell ref="N34:O34"/>
    <mergeCell ref="A35:M35"/>
    <mergeCell ref="N35:O35"/>
    <mergeCell ref="A36:M36"/>
    <mergeCell ref="N36:O36"/>
  </mergeCells>
  <dataValidations count="1">
    <dataValidation type="list" allowBlank="1" showInputMessage="1" showErrorMessage="1" sqref="J11:O11" xr:uid="{00000000-0002-0000-04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61"/>
  <sheetViews>
    <sheetView topLeftCell="A28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85546875" style="2" customWidth="1"/>
    <col min="17" max="18" width="7.85546875" style="2" hidden="1" customWidth="1"/>
    <col min="19" max="19" width="7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.7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3.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Tarquí'!$B12</f>
        <v>Cobertura   (Acueducto)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Tarquí'!F12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Tarquí'!A12</f>
        <v>IN05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8.5" customHeight="1" thickBot="1" x14ac:dyDescent="0.3">
      <c r="A11" s="220" t="str">
        <f>'SET SP Tarquí'!$C12</f>
        <v xml:space="preserve">Medir el grado de cobertura en   la prestación del servicio de acueducto administrado por Aguas del Huila. </v>
      </c>
      <c r="B11" s="221"/>
      <c r="C11" s="221"/>
      <c r="D11" s="221"/>
      <c r="E11" s="14" t="s">
        <v>35</v>
      </c>
      <c r="F11" s="221" t="str">
        <f>'SET SP Tarquí'!$D12</f>
        <v xml:space="preserve">(Número de Suscriptores servicio de acueducto / Número de Domicilios) x 100% </v>
      </c>
      <c r="G11" s="221"/>
      <c r="H11" s="12">
        <f>$O18</f>
        <v>1</v>
      </c>
      <c r="I11" s="13" t="str">
        <f>'SET SP Tarquí'!$E12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+'04'!A15:O15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0.99</v>
      </c>
      <c r="D17" s="97">
        <f t="shared" si="0"/>
        <v>0.99</v>
      </c>
      <c r="E17" s="97">
        <f t="shared" si="0"/>
        <v>0.99</v>
      </c>
      <c r="F17" s="97">
        <f t="shared" si="0"/>
        <v>0.99</v>
      </c>
      <c r="G17" s="97">
        <f t="shared" si="0"/>
        <v>0.99</v>
      </c>
      <c r="H17" s="97">
        <f t="shared" si="0"/>
        <v>0.99</v>
      </c>
      <c r="I17" s="97">
        <f t="shared" si="0"/>
        <v>0.99</v>
      </c>
      <c r="J17" s="97">
        <f t="shared" si="0"/>
        <v>0.99</v>
      </c>
      <c r="K17" s="97">
        <f t="shared" si="0"/>
        <v>0.99</v>
      </c>
      <c r="L17" s="97">
        <f t="shared" si="0"/>
        <v>0.99</v>
      </c>
      <c r="M17" s="97">
        <f t="shared" si="0"/>
        <v>0.99</v>
      </c>
      <c r="N17" s="97">
        <f t="shared" si="0"/>
        <v>0.99</v>
      </c>
      <c r="O17" s="101">
        <f>'SET SP Tarquí'!J12</f>
        <v>0.99</v>
      </c>
      <c r="V17" s="7"/>
      <c r="W17" s="8"/>
      <c r="X17" s="8"/>
    </row>
    <row r="18" spans="1:24" ht="17.25" customHeight="1" x14ac:dyDescent="0.25">
      <c r="A18" s="263" t="str">
        <f>+'04'!A18:B18</f>
        <v>META  AÑO 2025</v>
      </c>
      <c r="B18" s="264"/>
      <c r="C18" s="97">
        <f t="shared" ref="C18:N18" si="1">$O$18</f>
        <v>1</v>
      </c>
      <c r="D18" s="97">
        <f t="shared" si="1"/>
        <v>1</v>
      </c>
      <c r="E18" s="97">
        <f t="shared" si="1"/>
        <v>1</v>
      </c>
      <c r="F18" s="97">
        <f t="shared" si="1"/>
        <v>1</v>
      </c>
      <c r="G18" s="97">
        <f t="shared" si="1"/>
        <v>1</v>
      </c>
      <c r="H18" s="97">
        <f t="shared" si="1"/>
        <v>1</v>
      </c>
      <c r="I18" s="97">
        <f t="shared" si="1"/>
        <v>1</v>
      </c>
      <c r="J18" s="97">
        <f t="shared" si="1"/>
        <v>1</v>
      </c>
      <c r="K18" s="97">
        <f t="shared" si="1"/>
        <v>1</v>
      </c>
      <c r="L18" s="97">
        <f t="shared" si="1"/>
        <v>1</v>
      </c>
      <c r="M18" s="97">
        <f t="shared" si="1"/>
        <v>1</v>
      </c>
      <c r="N18" s="97">
        <f t="shared" si="1"/>
        <v>1</v>
      </c>
      <c r="O18" s="101">
        <f>'SET SP Tarquí'!K12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 t="str">
        <f t="shared" si="3"/>
        <v>-</v>
      </c>
      <c r="V19" s="7"/>
      <c r="W19" s="8"/>
      <c r="X19" s="8"/>
    </row>
    <row r="20" spans="1:24" ht="14.25" customHeight="1" x14ac:dyDescent="0.25">
      <c r="A20" s="269" t="s">
        <v>37</v>
      </c>
      <c r="B20" s="31" t="s">
        <v>251</v>
      </c>
      <c r="C20" s="20">
        <f>TARQUI2020!D$6</f>
        <v>2141</v>
      </c>
      <c r="D20" s="20">
        <f>TARQUI2020!E$6</f>
        <v>2140</v>
      </c>
      <c r="E20" s="20">
        <f>TARQUI2020!F$6</f>
        <v>2150</v>
      </c>
      <c r="F20" s="20">
        <f>TARQUI2020!G$6</f>
        <v>2157</v>
      </c>
      <c r="G20" s="20">
        <f>TARQUI2020!H$6</f>
        <v>0</v>
      </c>
      <c r="H20" s="20">
        <f>TARQUI2020!I$6</f>
        <v>0</v>
      </c>
      <c r="I20" s="20">
        <f>TARQUI2020!J$6</f>
        <v>0</v>
      </c>
      <c r="J20" s="20">
        <f>TARQUI2020!K$6</f>
        <v>0</v>
      </c>
      <c r="K20" s="20">
        <f>TARQUI2020!L$6</f>
        <v>0</v>
      </c>
      <c r="L20" s="20">
        <f>TARQUI2020!M$6</f>
        <v>0</v>
      </c>
      <c r="M20" s="20">
        <f>TARQUI2020!N$6</f>
        <v>0</v>
      </c>
      <c r="N20" s="20">
        <f>TARQUI2020!O$6</f>
        <v>0</v>
      </c>
      <c r="O20" s="21">
        <f>SUM(C20:N20)</f>
        <v>8588</v>
      </c>
      <c r="V20" s="7"/>
      <c r="W20" s="8"/>
      <c r="X20" s="8"/>
    </row>
    <row r="21" spans="1:24" ht="15.75" customHeight="1" x14ac:dyDescent="0.25">
      <c r="A21" s="269"/>
      <c r="B21" s="31" t="s">
        <v>136</v>
      </c>
      <c r="C21" s="20">
        <f>TARQUI2020!D$5</f>
        <v>0</v>
      </c>
      <c r="D21" s="20">
        <f>TARQUI2020!E$5</f>
        <v>0</v>
      </c>
      <c r="E21" s="20">
        <f>TARQUI2020!F$5</f>
        <v>0</v>
      </c>
      <c r="F21" s="20">
        <f>TARQUI2020!G$5</f>
        <v>0</v>
      </c>
      <c r="G21" s="20">
        <f>TARQUI2020!H$5</f>
        <v>0</v>
      </c>
      <c r="H21" s="20">
        <f>TARQUI2020!I$5</f>
        <v>0</v>
      </c>
      <c r="I21" s="20">
        <f>TARQUI2020!J$5</f>
        <v>0</v>
      </c>
      <c r="J21" s="20">
        <f>TARQUI2020!K$5</f>
        <v>0</v>
      </c>
      <c r="K21" s="20">
        <f>TARQUI2020!L$5</f>
        <v>0</v>
      </c>
      <c r="L21" s="20">
        <f>TARQUI2020!M$5</f>
        <v>0</v>
      </c>
      <c r="M21" s="20">
        <f>TARQUI2020!N$5</f>
        <v>0</v>
      </c>
      <c r="N21" s="20">
        <f>TARQUI2020!O$5</f>
        <v>0</v>
      </c>
      <c r="O21" s="21">
        <f>SUM(C21:N21)</f>
        <v>0</v>
      </c>
      <c r="V21" s="7"/>
      <c r="W21" s="8"/>
      <c r="X21" s="8"/>
    </row>
    <row r="22" spans="1:24" ht="17.2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Tarquí'!$G12</f>
        <v>Entre 80% y 100%</v>
      </c>
      <c r="E24" s="261"/>
      <c r="F24" s="261"/>
      <c r="G24" s="262"/>
      <c r="H24" s="260" t="str">
        <f>'SET SP Tarquí'!$H12</f>
        <v>Entre 60% y 79%</v>
      </c>
      <c r="I24" s="261"/>
      <c r="J24" s="261"/>
      <c r="K24" s="262"/>
      <c r="L24" s="260" t="str">
        <f>'SET SP Tarquí'!$I12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19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6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38:M38"/>
    <mergeCell ref="N38:O38"/>
    <mergeCell ref="A39:M39"/>
    <mergeCell ref="N39:O39"/>
    <mergeCell ref="A40:M40"/>
    <mergeCell ref="N40:O40"/>
    <mergeCell ref="A35:M35"/>
    <mergeCell ref="N35:O35"/>
    <mergeCell ref="A36:M36"/>
    <mergeCell ref="N36:O36"/>
    <mergeCell ref="A37:M37"/>
    <mergeCell ref="N37:O37"/>
    <mergeCell ref="A32:M32"/>
    <mergeCell ref="N32:O32"/>
    <mergeCell ref="A33:M33"/>
    <mergeCell ref="N33:O33"/>
    <mergeCell ref="A34:M34"/>
    <mergeCell ref="N34:O34"/>
    <mergeCell ref="N29:O29"/>
    <mergeCell ref="A30:M30"/>
    <mergeCell ref="N30:O30"/>
    <mergeCell ref="A31:M31"/>
    <mergeCell ref="N31:O31"/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L25:O25"/>
    <mergeCell ref="A29:M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16:B16"/>
    <mergeCell ref="I9:I10"/>
    <mergeCell ref="J9:K10"/>
    <mergeCell ref="L9:O9"/>
    <mergeCell ref="L10:M10"/>
    <mergeCell ref="H9:H10"/>
    <mergeCell ref="N10:O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11:D11"/>
    <mergeCell ref="F11:G11"/>
    <mergeCell ref="L24:O24"/>
    <mergeCell ref="D25:G25"/>
    <mergeCell ref="H25:K25"/>
    <mergeCell ref="A13:O13"/>
  </mergeCells>
  <dataValidations count="1">
    <dataValidation type="list" allowBlank="1" showInputMessage="1" showErrorMessage="1" sqref="J11:O11" xr:uid="{00000000-0002-0000-05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28515625" style="2" customWidth="1"/>
    <col min="17" max="18" width="6.28515625" style="2" hidden="1" customWidth="1"/>
    <col min="19" max="19" width="6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6.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.7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Tarquí'!$B13</f>
        <v>Cobertura   (Alcantarillado)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Tarquí'!F13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Tarquí'!A13</f>
        <v>IN06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5.5" customHeight="1" thickBot="1" x14ac:dyDescent="0.3">
      <c r="A11" s="220" t="str">
        <f>'SET SP Tarquí'!$C13</f>
        <v xml:space="preserve">Medir el grado de cobertura en   la prestación del servicio de alcantarillado administrado  por Aguas del Huila. </v>
      </c>
      <c r="B11" s="221"/>
      <c r="C11" s="221"/>
      <c r="D11" s="221"/>
      <c r="E11" s="14" t="s">
        <v>35</v>
      </c>
      <c r="F11" s="221" t="str">
        <f>'SET SP Tarquí'!$D13</f>
        <v xml:space="preserve">(Número de Suscriptores servicio de alcantarillado / Número de Domicilios) x 100%  </v>
      </c>
      <c r="G11" s="221"/>
      <c r="H11" s="19">
        <f>$O18</f>
        <v>1</v>
      </c>
      <c r="I11" s="13" t="str">
        <f>'SET SP Tarquí'!$E13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1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+'05'!A15:O15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97">
        <f t="shared" ref="C17:N17" si="0">$O$17</f>
        <v>0.94</v>
      </c>
      <c r="D17" s="97">
        <f t="shared" si="0"/>
        <v>0.94</v>
      </c>
      <c r="E17" s="97">
        <f t="shared" si="0"/>
        <v>0.94</v>
      </c>
      <c r="F17" s="97">
        <f t="shared" si="0"/>
        <v>0.94</v>
      </c>
      <c r="G17" s="97">
        <f t="shared" si="0"/>
        <v>0.94</v>
      </c>
      <c r="H17" s="97">
        <f t="shared" si="0"/>
        <v>0.94</v>
      </c>
      <c r="I17" s="97">
        <f t="shared" si="0"/>
        <v>0.94</v>
      </c>
      <c r="J17" s="97">
        <f t="shared" si="0"/>
        <v>0.94</v>
      </c>
      <c r="K17" s="97">
        <f t="shared" si="0"/>
        <v>0.94</v>
      </c>
      <c r="L17" s="97">
        <f t="shared" si="0"/>
        <v>0.94</v>
      </c>
      <c r="M17" s="97">
        <f t="shared" si="0"/>
        <v>0.94</v>
      </c>
      <c r="N17" s="97">
        <f t="shared" si="0"/>
        <v>0.94</v>
      </c>
      <c r="O17" s="101">
        <f>'SET SP Tarquí'!J13</f>
        <v>0.94</v>
      </c>
      <c r="V17" s="7"/>
      <c r="W17" s="8"/>
      <c r="X17" s="8"/>
    </row>
    <row r="18" spans="1:24" ht="17.25" customHeight="1" x14ac:dyDescent="0.25">
      <c r="A18" s="263" t="str">
        <f>+'05'!A18:B18</f>
        <v>META  AÑO 2025</v>
      </c>
      <c r="B18" s="264"/>
      <c r="C18" s="97">
        <f t="shared" ref="C18:N18" si="1">$O$18</f>
        <v>1</v>
      </c>
      <c r="D18" s="97">
        <f t="shared" si="1"/>
        <v>1</v>
      </c>
      <c r="E18" s="97">
        <f t="shared" si="1"/>
        <v>1</v>
      </c>
      <c r="F18" s="97">
        <f t="shared" si="1"/>
        <v>1</v>
      </c>
      <c r="G18" s="97">
        <f t="shared" si="1"/>
        <v>1</v>
      </c>
      <c r="H18" s="97">
        <f t="shared" si="1"/>
        <v>1</v>
      </c>
      <c r="I18" s="97">
        <f t="shared" si="1"/>
        <v>1</v>
      </c>
      <c r="J18" s="97">
        <f t="shared" si="1"/>
        <v>1</v>
      </c>
      <c r="K18" s="97">
        <f t="shared" si="1"/>
        <v>1</v>
      </c>
      <c r="L18" s="97">
        <f t="shared" si="1"/>
        <v>1</v>
      </c>
      <c r="M18" s="97">
        <f t="shared" si="1"/>
        <v>1</v>
      </c>
      <c r="N18" s="97">
        <f t="shared" si="1"/>
        <v>1</v>
      </c>
      <c r="O18" s="101">
        <f>'SET SP Tarquí'!K13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 t="str">
        <f t="shared" si="3"/>
        <v>-</v>
      </c>
      <c r="V19" s="7"/>
      <c r="W19" s="8"/>
      <c r="X19" s="8"/>
    </row>
    <row r="20" spans="1:24" ht="14.25" customHeight="1" x14ac:dyDescent="0.25">
      <c r="A20" s="269" t="s">
        <v>37</v>
      </c>
      <c r="B20" s="31" t="s">
        <v>252</v>
      </c>
      <c r="C20" s="20">
        <f>TARQUI2020!D$7</f>
        <v>2047</v>
      </c>
      <c r="D20" s="20">
        <f>TARQUI2020!E$7</f>
        <v>2046</v>
      </c>
      <c r="E20" s="20">
        <f>TARQUI2020!F$7</f>
        <v>2055</v>
      </c>
      <c r="F20" s="20">
        <f>TARQUI2020!G$7</f>
        <v>2061</v>
      </c>
      <c r="G20" s="20">
        <f>TARQUI2020!H$7</f>
        <v>0</v>
      </c>
      <c r="H20" s="20">
        <f>TARQUI2020!I$7</f>
        <v>0</v>
      </c>
      <c r="I20" s="20">
        <f>TARQUI2020!J$7</f>
        <v>0</v>
      </c>
      <c r="J20" s="20">
        <f>TARQUI2020!K$7</f>
        <v>0</v>
      </c>
      <c r="K20" s="20">
        <f>TARQUI2020!L$7</f>
        <v>0</v>
      </c>
      <c r="L20" s="20">
        <f>TARQUI2020!M$7</f>
        <v>0</v>
      </c>
      <c r="M20" s="20">
        <f>TARQUI2020!N$7</f>
        <v>0</v>
      </c>
      <c r="N20" s="20">
        <f>TARQUI2020!O$7</f>
        <v>0</v>
      </c>
      <c r="O20" s="21">
        <f>SUM(C20:N20)</f>
        <v>8209</v>
      </c>
      <c r="V20" s="7"/>
      <c r="W20" s="8"/>
      <c r="X20" s="8"/>
    </row>
    <row r="21" spans="1:24" ht="12.75" customHeight="1" x14ac:dyDescent="0.25">
      <c r="A21" s="269"/>
      <c r="B21" s="31" t="s">
        <v>136</v>
      </c>
      <c r="C21" s="20">
        <f>+'05'!C21</f>
        <v>0</v>
      </c>
      <c r="D21" s="20">
        <f>+'05'!D21</f>
        <v>0</v>
      </c>
      <c r="E21" s="20">
        <f>+'05'!E21</f>
        <v>0</v>
      </c>
      <c r="F21" s="20">
        <f>+'05'!F21</f>
        <v>0</v>
      </c>
      <c r="G21" s="20">
        <f>+'05'!G21</f>
        <v>0</v>
      </c>
      <c r="H21" s="20">
        <f>+'05'!H21</f>
        <v>0</v>
      </c>
      <c r="I21" s="20">
        <f>+'05'!I21</f>
        <v>0</v>
      </c>
      <c r="J21" s="20">
        <f>+'05'!J21</f>
        <v>0</v>
      </c>
      <c r="K21" s="20">
        <f>+'05'!K21</f>
        <v>0</v>
      </c>
      <c r="L21" s="20">
        <f>+'05'!L21</f>
        <v>0</v>
      </c>
      <c r="M21" s="20">
        <f>+'05'!M21</f>
        <v>0</v>
      </c>
      <c r="N21" s="20">
        <f>+'05'!N21</f>
        <v>0</v>
      </c>
      <c r="O21" s="21">
        <f>SUM(C21:N21)</f>
        <v>0</v>
      </c>
      <c r="V21" s="7"/>
      <c r="W21" s="8"/>
      <c r="X21" s="8"/>
    </row>
    <row r="22" spans="1:24" ht="17.25" customHeight="1" x14ac:dyDescent="0.25">
      <c r="A22" s="269"/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95" t="str">
        <f>'SET SP Tarquí'!$G13</f>
        <v>Entre 80% y 100%</v>
      </c>
      <c r="E24" s="296"/>
      <c r="F24" s="296"/>
      <c r="G24" s="297"/>
      <c r="H24" s="260" t="str">
        <f>'SET SP Tarquí'!$H13</f>
        <v>Entre 60% y 79%</v>
      </c>
      <c r="I24" s="261"/>
      <c r="J24" s="261"/>
      <c r="K24" s="262"/>
      <c r="L24" s="260" t="str">
        <f>'SET SP Tarquí'!$I13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25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6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D2:O2"/>
    <mergeCell ref="D3:O3"/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  <mergeCell ref="A31:M31"/>
    <mergeCell ref="N31:O31"/>
    <mergeCell ref="A32:M32"/>
    <mergeCell ref="N32:O32"/>
    <mergeCell ref="A33:M33"/>
    <mergeCell ref="N33:O33"/>
    <mergeCell ref="A44:O44"/>
    <mergeCell ref="A6:E6"/>
    <mergeCell ref="F6:O6"/>
    <mergeCell ref="A1:C4"/>
    <mergeCell ref="D1:O1"/>
    <mergeCell ref="D4:O4"/>
    <mergeCell ref="A13:O13"/>
    <mergeCell ref="I9:I10"/>
    <mergeCell ref="A7:E7"/>
    <mergeCell ref="A5:E5"/>
    <mergeCell ref="F5:O5"/>
    <mergeCell ref="N10:O10"/>
    <mergeCell ref="F7:O7"/>
    <mergeCell ref="J9:K10"/>
    <mergeCell ref="L9:O9"/>
    <mergeCell ref="L10:M10"/>
    <mergeCell ref="A8:E8"/>
    <mergeCell ref="A9:D10"/>
    <mergeCell ref="E9:E10"/>
    <mergeCell ref="F9:G10"/>
    <mergeCell ref="H9:H10"/>
    <mergeCell ref="G8:O8"/>
    <mergeCell ref="A43:M43"/>
    <mergeCell ref="N43:O43"/>
    <mergeCell ref="A18:B18"/>
    <mergeCell ref="A19:B19"/>
    <mergeCell ref="A20:A23"/>
    <mergeCell ref="L24:O24"/>
    <mergeCell ref="D25:G25"/>
    <mergeCell ref="H25:K25"/>
    <mergeCell ref="L25:O25"/>
    <mergeCell ref="A26:O26"/>
    <mergeCell ref="A27:O27"/>
    <mergeCell ref="H24:K24"/>
    <mergeCell ref="A24:C25"/>
    <mergeCell ref="D24:G24"/>
    <mergeCell ref="A41:M41"/>
    <mergeCell ref="N41:O41"/>
    <mergeCell ref="A42:M42"/>
    <mergeCell ref="N42:O42"/>
    <mergeCell ref="J11:O11"/>
    <mergeCell ref="A28:M28"/>
    <mergeCell ref="N28:O28"/>
    <mergeCell ref="A17:B17"/>
    <mergeCell ref="A14:O14"/>
    <mergeCell ref="A15:O15"/>
    <mergeCell ref="A16:B16"/>
    <mergeCell ref="A11:D11"/>
    <mergeCell ref="F11:G11"/>
    <mergeCell ref="A12:O12"/>
    <mergeCell ref="A29:M29"/>
    <mergeCell ref="N29:O29"/>
    <mergeCell ref="A30:M30"/>
    <mergeCell ref="N30:O30"/>
  </mergeCells>
  <dataValidations count="1">
    <dataValidation type="list" allowBlank="1" showInputMessage="1" showErrorMessage="1" sqref="J11:O11" xr:uid="{00000000-0002-0000-06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12.140625" style="2" customWidth="1"/>
    <col min="4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2.7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4.2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Tarquí'!$B14</f>
        <v xml:space="preserve">Cobertura   (Servicio de Aseo) 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Tarquí'!F14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Tarquí'!A14</f>
        <v>IN07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47.25" customHeight="1" thickBot="1" x14ac:dyDescent="0.3">
      <c r="A11" s="220" t="str">
        <f>'SET SP Tarquí'!$C14</f>
        <v xml:space="preserve">Medir el grado de cobertura en   la prestación del servicio de aseo administrado  por Aguas del Huila. </v>
      </c>
      <c r="B11" s="221"/>
      <c r="C11" s="221"/>
      <c r="D11" s="221"/>
      <c r="E11" s="14" t="s">
        <v>35</v>
      </c>
      <c r="F11" s="221" t="str">
        <f>'SET SP Tarquí'!$D14</f>
        <v xml:space="preserve">(Residuos sólidos recolectada/ Residuos sólidos producidos) x 100%           </v>
      </c>
      <c r="G11" s="221"/>
      <c r="H11" s="19">
        <f>$O18</f>
        <v>1</v>
      </c>
      <c r="I11" s="13" t="str">
        <f>'SET SP Tarquí'!$E14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18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+'06'!A15:O15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0.95</v>
      </c>
      <c r="D17" s="52">
        <f t="shared" si="0"/>
        <v>0.95</v>
      </c>
      <c r="E17" s="52">
        <f t="shared" si="0"/>
        <v>0.95</v>
      </c>
      <c r="F17" s="52">
        <f t="shared" si="0"/>
        <v>0.95</v>
      </c>
      <c r="G17" s="52">
        <f t="shared" si="0"/>
        <v>0.95</v>
      </c>
      <c r="H17" s="52">
        <f t="shared" si="0"/>
        <v>0.95</v>
      </c>
      <c r="I17" s="52">
        <f t="shared" si="0"/>
        <v>0.95</v>
      </c>
      <c r="J17" s="52">
        <f t="shared" si="0"/>
        <v>0.95</v>
      </c>
      <c r="K17" s="52">
        <f t="shared" si="0"/>
        <v>0.95</v>
      </c>
      <c r="L17" s="52">
        <f t="shared" si="0"/>
        <v>0.95</v>
      </c>
      <c r="M17" s="52">
        <f t="shared" si="0"/>
        <v>0.95</v>
      </c>
      <c r="N17" s="52">
        <f t="shared" si="0"/>
        <v>0.95</v>
      </c>
      <c r="O17" s="102">
        <f>'SET SP Tarquí'!J14</f>
        <v>0.95</v>
      </c>
      <c r="V17" s="7"/>
      <c r="W17" s="8"/>
      <c r="X17" s="8"/>
    </row>
    <row r="18" spans="1:24" ht="17.25" customHeight="1" x14ac:dyDescent="0.25">
      <c r="A18" s="263" t="str">
        <f>+'06'!A18:B18</f>
        <v>META  AÑO 2025</v>
      </c>
      <c r="B18" s="264"/>
      <c r="C18" s="52">
        <f t="shared" ref="C18:N18" si="1">$O$18</f>
        <v>1</v>
      </c>
      <c r="D18" s="52">
        <f t="shared" si="1"/>
        <v>1</v>
      </c>
      <c r="E18" s="52">
        <f t="shared" si="1"/>
        <v>1</v>
      </c>
      <c r="F18" s="52">
        <f t="shared" si="1"/>
        <v>1</v>
      </c>
      <c r="G18" s="52">
        <f t="shared" si="1"/>
        <v>1</v>
      </c>
      <c r="H18" s="52">
        <f t="shared" si="1"/>
        <v>1</v>
      </c>
      <c r="I18" s="52">
        <f t="shared" si="1"/>
        <v>1</v>
      </c>
      <c r="J18" s="52">
        <f t="shared" si="1"/>
        <v>1</v>
      </c>
      <c r="K18" s="52">
        <f t="shared" si="1"/>
        <v>1</v>
      </c>
      <c r="L18" s="52">
        <f t="shared" si="1"/>
        <v>1</v>
      </c>
      <c r="M18" s="52">
        <f t="shared" si="1"/>
        <v>1</v>
      </c>
      <c r="N18" s="52">
        <f t="shared" si="1"/>
        <v>1</v>
      </c>
      <c r="O18" s="102">
        <f>'SET SP Tarquí'!K14</f>
        <v>1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60" t="str">
        <f>IF(ISNUMBER(C21),C20/C21,"-")</f>
        <v>-</v>
      </c>
      <c r="D19" s="60" t="str">
        <f t="shared" ref="D19:O19" si="2">IF(ISNUMBER(D21),D20/D21,"-")</f>
        <v>-</v>
      </c>
      <c r="E19" s="60" t="str">
        <f t="shared" si="2"/>
        <v>-</v>
      </c>
      <c r="F19" s="60" t="str">
        <f t="shared" si="2"/>
        <v>-</v>
      </c>
      <c r="G19" s="60" t="str">
        <f t="shared" si="2"/>
        <v>-</v>
      </c>
      <c r="H19" s="60" t="str">
        <f t="shared" si="2"/>
        <v>-</v>
      </c>
      <c r="I19" s="60" t="str">
        <f t="shared" si="2"/>
        <v>-</v>
      </c>
      <c r="J19" s="60" t="str">
        <f t="shared" si="2"/>
        <v>-</v>
      </c>
      <c r="K19" s="60" t="str">
        <f t="shared" si="2"/>
        <v>-</v>
      </c>
      <c r="L19" s="60" t="str">
        <f t="shared" si="2"/>
        <v>-</v>
      </c>
      <c r="M19" s="60" t="str">
        <f t="shared" si="2"/>
        <v>-</v>
      </c>
      <c r="N19" s="60" t="str">
        <f t="shared" si="2"/>
        <v>-</v>
      </c>
      <c r="O19" s="61" t="str">
        <f t="shared" si="2"/>
        <v>-</v>
      </c>
      <c r="V19" s="7"/>
      <c r="W19" s="8"/>
      <c r="X19" s="8"/>
    </row>
    <row r="20" spans="1:24" ht="17.25" customHeight="1" x14ac:dyDescent="0.25">
      <c r="A20" s="269" t="s">
        <v>37</v>
      </c>
      <c r="B20" s="31" t="s">
        <v>137</v>
      </c>
      <c r="C20" s="3" t="str">
        <f>TARQUI2020!D$36</f>
        <v>119.54</v>
      </c>
      <c r="D20" s="3" t="str">
        <f>TARQUI2020!E$36</f>
        <v>102.71</v>
      </c>
      <c r="E20" s="3">
        <f>TARQUI2020!F$36</f>
        <v>0</v>
      </c>
      <c r="F20" s="3">
        <f>TARQUI2020!G$36</f>
        <v>0</v>
      </c>
      <c r="G20" s="3">
        <f>TARQUI2020!H$36</f>
        <v>0</v>
      </c>
      <c r="H20" s="3">
        <f>TARQUI2020!I$36</f>
        <v>0</v>
      </c>
      <c r="I20" s="3">
        <f>TARQUI2020!J$36</f>
        <v>0</v>
      </c>
      <c r="J20" s="3">
        <f>TARQUI2020!K$36</f>
        <v>0</v>
      </c>
      <c r="K20" s="3">
        <f>TARQUI2020!L$36</f>
        <v>0</v>
      </c>
      <c r="L20" s="3">
        <f>TARQUI2020!M$36</f>
        <v>0</v>
      </c>
      <c r="M20" s="3">
        <f>TARQUI2020!N$36</f>
        <v>0</v>
      </c>
      <c r="N20" s="3">
        <f>TARQUI2020!O$36</f>
        <v>0</v>
      </c>
      <c r="O20" s="16">
        <f>SUM(C20:N20)</f>
        <v>0</v>
      </c>
      <c r="V20" s="7"/>
      <c r="W20" s="8"/>
      <c r="X20" s="8"/>
    </row>
    <row r="21" spans="1:24" ht="17.25" customHeight="1" x14ac:dyDescent="0.25">
      <c r="A21" s="269"/>
      <c r="B21" s="31" t="s">
        <v>138</v>
      </c>
      <c r="C21" s="3" t="e">
        <f>ROUND(+C20/TARQUI2020!D55,2)</f>
        <v>#DIV/0!</v>
      </c>
      <c r="D21" s="3" t="e">
        <f>ROUND(+D20/TARQUI2020!E55,2)</f>
        <v>#DIV/0!</v>
      </c>
      <c r="E21" s="3" t="e">
        <f>ROUND(+E20/TARQUI2020!F55,2)</f>
        <v>#DIV/0!</v>
      </c>
      <c r="F21" s="3" t="e">
        <f>ROUND(+F20/TARQUI2020!G55,2)</f>
        <v>#DIV/0!</v>
      </c>
      <c r="G21" s="3" t="e">
        <f>ROUND(+G20/TARQUI2020!H55,2)</f>
        <v>#DIV/0!</v>
      </c>
      <c r="H21" s="3" t="e">
        <f>ROUND(+H20/TARQUI2020!I55,2)</f>
        <v>#DIV/0!</v>
      </c>
      <c r="I21" s="3" t="e">
        <f>ROUND(+I20/TARQUI2020!J55,2)</f>
        <v>#DIV/0!</v>
      </c>
      <c r="J21" s="3" t="e">
        <f>ROUND(+J20/TARQUI2020!K55,2)</f>
        <v>#DIV/0!</v>
      </c>
      <c r="K21" s="3" t="e">
        <f>ROUND(+K20/TARQUI2020!L55,2)</f>
        <v>#DIV/0!</v>
      </c>
      <c r="L21" s="3" t="e">
        <f>ROUND(+L20/TARQUI2020!M55,2)</f>
        <v>#DIV/0!</v>
      </c>
      <c r="M21" s="3" t="e">
        <f>ROUND(+M20/TARQUI2020!N55,2)</f>
        <v>#DIV/0!</v>
      </c>
      <c r="N21" s="3" t="e">
        <f>ROUND(+N20/TARQUI2020!O55,2)</f>
        <v>#DIV/0!</v>
      </c>
      <c r="O21" s="16" t="e">
        <f>SUM(C21:N21)</f>
        <v>#DIV/0!</v>
      </c>
      <c r="V21" s="7"/>
      <c r="W21" s="8"/>
      <c r="X21" s="8"/>
    </row>
    <row r="22" spans="1:24" ht="15" customHeight="1" x14ac:dyDescent="0.25">
      <c r="A22" s="298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3.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Tarquí'!$G14</f>
        <v>Entre 80% y 100%</v>
      </c>
      <c r="E24" s="261"/>
      <c r="F24" s="261"/>
      <c r="G24" s="262"/>
      <c r="H24" s="260" t="str">
        <f>'SET SP Tarquí'!$H14</f>
        <v>Entre 60% y 79%</v>
      </c>
      <c r="I24" s="261"/>
      <c r="J24" s="261"/>
      <c r="K24" s="262"/>
      <c r="L24" s="260" t="str">
        <f>'SET SP Tarquí'!$I14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25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6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0.92</v>
      </c>
    </row>
    <row r="61" spans="17:17" x14ac:dyDescent="0.25">
      <c r="Q61" s="22">
        <v>1</v>
      </c>
    </row>
  </sheetData>
  <mergeCells count="76">
    <mergeCell ref="D2:O2"/>
    <mergeCell ref="D3:O3"/>
    <mergeCell ref="A40:M40"/>
    <mergeCell ref="N40:O40"/>
    <mergeCell ref="A37:M37"/>
    <mergeCell ref="N37:O37"/>
    <mergeCell ref="A38:M38"/>
    <mergeCell ref="N38:O38"/>
    <mergeCell ref="A39:M39"/>
    <mergeCell ref="N39:O39"/>
    <mergeCell ref="N34:O34"/>
    <mergeCell ref="A35:M35"/>
    <mergeCell ref="N35:O35"/>
    <mergeCell ref="A36:M36"/>
    <mergeCell ref="N36:O36"/>
    <mergeCell ref="A34:M34"/>
    <mergeCell ref="A44:O44"/>
    <mergeCell ref="N10:O10"/>
    <mergeCell ref="A11:D11"/>
    <mergeCell ref="F11:G11"/>
    <mergeCell ref="L24:O24"/>
    <mergeCell ref="D25:G25"/>
    <mergeCell ref="H25:K25"/>
    <mergeCell ref="H24:K24"/>
    <mergeCell ref="A24:C25"/>
    <mergeCell ref="D24:G24"/>
    <mergeCell ref="I9:I10"/>
    <mergeCell ref="A41:M41"/>
    <mergeCell ref="N41:O41"/>
    <mergeCell ref="A42:M42"/>
    <mergeCell ref="N42:O42"/>
    <mergeCell ref="A28:M28"/>
    <mergeCell ref="A7:E7"/>
    <mergeCell ref="A18:B18"/>
    <mergeCell ref="A19:B19"/>
    <mergeCell ref="A20:A23"/>
    <mergeCell ref="A17:B17"/>
    <mergeCell ref="F7:O7"/>
    <mergeCell ref="A43:M43"/>
    <mergeCell ref="N43:O43"/>
    <mergeCell ref="D1:O1"/>
    <mergeCell ref="D4:O4"/>
    <mergeCell ref="A5:E5"/>
    <mergeCell ref="F5:O5"/>
    <mergeCell ref="A6:E6"/>
    <mergeCell ref="F6:O6"/>
    <mergeCell ref="A1:C4"/>
    <mergeCell ref="G8:O8"/>
    <mergeCell ref="A8:E8"/>
    <mergeCell ref="A9:D10"/>
    <mergeCell ref="E9:E10"/>
    <mergeCell ref="F9:G10"/>
    <mergeCell ref="H9:H10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J9:K10"/>
    <mergeCell ref="L9:O9"/>
    <mergeCell ref="L10:M10"/>
    <mergeCell ref="A12:O12"/>
    <mergeCell ref="J11:O11"/>
    <mergeCell ref="A27:O27"/>
    <mergeCell ref="L25:O25"/>
    <mergeCell ref="A26:O26"/>
    <mergeCell ref="A13:O13"/>
    <mergeCell ref="A14:O14"/>
    <mergeCell ref="A15:O15"/>
    <mergeCell ref="A16:B16"/>
  </mergeCells>
  <dataValidations disablePrompts="1" count="1">
    <dataValidation type="list" allowBlank="1" showInputMessage="1" showErrorMessage="1" sqref="J11:O11" xr:uid="{00000000-0002-0000-07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209" t="s">
        <v>249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1"/>
    </row>
    <row r="2" spans="1:24" ht="13.5" customHeight="1" x14ac:dyDescent="0.25">
      <c r="A2" s="197"/>
      <c r="B2" s="198"/>
      <c r="C2" s="198"/>
      <c r="D2" s="312" t="s">
        <v>273</v>
      </c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1:24" ht="16.5" customHeight="1" x14ac:dyDescent="0.25">
      <c r="A3" s="197"/>
      <c r="B3" s="198"/>
      <c r="C3" s="198"/>
      <c r="D3" s="315" t="s">
        <v>20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7"/>
    </row>
    <row r="4" spans="1:24" ht="12.75" customHeight="1" thickBot="1" x14ac:dyDescent="0.3">
      <c r="A4" s="199"/>
      <c r="B4" s="200"/>
      <c r="C4" s="200"/>
      <c r="D4" s="212" t="s">
        <v>270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Tarquí'!J5</f>
        <v>GESTIÓN DE SERVICIOS PÚBLICOS - TARQUÍ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Tarquí'!$B15</f>
        <v>Cobertura de medición</v>
      </c>
      <c r="G6" s="206"/>
      <c r="H6" s="206"/>
      <c r="I6" s="206"/>
      <c r="J6" s="206"/>
      <c r="K6" s="206"/>
      <c r="L6" s="206"/>
      <c r="M6" s="206"/>
      <c r="N6" s="206"/>
      <c r="O6" s="284"/>
    </row>
    <row r="7" spans="1:24" ht="15.75" customHeight="1" x14ac:dyDescent="0.25">
      <c r="A7" s="204" t="s">
        <v>55</v>
      </c>
      <c r="B7" s="205"/>
      <c r="C7" s="205"/>
      <c r="D7" s="205"/>
      <c r="E7" s="205"/>
      <c r="F7" s="217" t="str">
        <f>'SET SP Tarquí'!F15</f>
        <v xml:space="preserve">Eficiencia </v>
      </c>
      <c r="G7" s="218"/>
      <c r="H7" s="218"/>
      <c r="I7" s="218"/>
      <c r="J7" s="218"/>
      <c r="K7" s="218"/>
      <c r="L7" s="218"/>
      <c r="M7" s="218"/>
      <c r="N7" s="218"/>
      <c r="O7" s="219"/>
    </row>
    <row r="8" spans="1:24" ht="17.25" customHeight="1" thickBot="1" x14ac:dyDescent="0.3">
      <c r="A8" s="225" t="s">
        <v>21</v>
      </c>
      <c r="B8" s="226"/>
      <c r="C8" s="226"/>
      <c r="D8" s="226"/>
      <c r="E8" s="226"/>
      <c r="F8" s="23" t="s">
        <v>93</v>
      </c>
      <c r="G8" s="227" t="str">
        <f>'SET SP Tarquí'!A15</f>
        <v>IN08</v>
      </c>
      <c r="H8" s="227"/>
      <c r="I8" s="227"/>
      <c r="J8" s="227"/>
      <c r="K8" s="227"/>
      <c r="L8" s="227"/>
      <c r="M8" s="227"/>
      <c r="N8" s="227"/>
      <c r="O8" s="285"/>
    </row>
    <row r="9" spans="1:24" ht="12.75" customHeight="1" x14ac:dyDescent="0.25">
      <c r="A9" s="230" t="s">
        <v>22</v>
      </c>
      <c r="B9" s="231"/>
      <c r="C9" s="231"/>
      <c r="D9" s="231"/>
      <c r="E9" s="233" t="s">
        <v>23</v>
      </c>
      <c r="F9" s="233" t="s">
        <v>24</v>
      </c>
      <c r="G9" s="233"/>
      <c r="H9" s="233" t="s">
        <v>25</v>
      </c>
      <c r="I9" s="233" t="s">
        <v>26</v>
      </c>
      <c r="J9" s="233" t="s">
        <v>27</v>
      </c>
      <c r="K9" s="233"/>
      <c r="L9" s="235" t="s">
        <v>28</v>
      </c>
      <c r="M9" s="235"/>
      <c r="N9" s="235"/>
      <c r="O9" s="236"/>
    </row>
    <row r="10" spans="1:24" ht="46.5" customHeight="1" x14ac:dyDescent="0.25">
      <c r="A10" s="232"/>
      <c r="B10" s="215"/>
      <c r="C10" s="215"/>
      <c r="D10" s="215"/>
      <c r="E10" s="234"/>
      <c r="F10" s="234"/>
      <c r="G10" s="234"/>
      <c r="H10" s="234"/>
      <c r="I10" s="234"/>
      <c r="J10" s="234"/>
      <c r="K10" s="234"/>
      <c r="L10" s="215" t="s">
        <v>29</v>
      </c>
      <c r="M10" s="215"/>
      <c r="N10" s="215" t="s">
        <v>30</v>
      </c>
      <c r="O10" s="216"/>
    </row>
    <row r="11" spans="1:24" ht="54.75" customHeight="1" thickBot="1" x14ac:dyDescent="0.3">
      <c r="A11" s="220" t="str">
        <f>'SET SP Tarquí'!$C15</f>
        <v>Lograr que los suscriptores del servicio de acueducto de Aguas del Huila, tengan su instrumento medición.</v>
      </c>
      <c r="B11" s="221"/>
      <c r="C11" s="221"/>
      <c r="D11" s="221"/>
      <c r="E11" s="14" t="s">
        <v>35</v>
      </c>
      <c r="F11" s="299" t="str">
        <f>'SET SP Tarquí'!$D15</f>
        <v xml:space="preserve">(Número de Medidores en servicio / Número de Suscriptores) x 100%          </v>
      </c>
      <c r="G11" s="300"/>
      <c r="H11" s="19">
        <f>$O18</f>
        <v>0.98</v>
      </c>
      <c r="I11" s="13" t="str">
        <f>'SET SP Tarquí'!$E15</f>
        <v>Trimestral</v>
      </c>
      <c r="J11" s="222" t="s">
        <v>88</v>
      </c>
      <c r="K11" s="223"/>
      <c r="L11" s="223"/>
      <c r="M11" s="223"/>
      <c r="N11" s="223"/>
      <c r="O11" s="224"/>
    </row>
    <row r="12" spans="1:24" ht="13.5" customHeight="1" x14ac:dyDescent="0.25">
      <c r="A12" s="242" t="s">
        <v>38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</row>
    <row r="13" spans="1:24" ht="24.75" customHeight="1" thickBot="1" x14ac:dyDescent="0.3">
      <c r="A13" s="245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7"/>
    </row>
    <row r="14" spans="1:24" ht="15" customHeight="1" thickBot="1" x14ac:dyDescent="0.3">
      <c r="A14" s="248" t="s">
        <v>31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50"/>
      <c r="V14" s="7"/>
      <c r="W14" s="6"/>
      <c r="X14" s="6"/>
    </row>
    <row r="15" spans="1:24" ht="16.5" customHeight="1" x14ac:dyDescent="0.25">
      <c r="A15" s="251" t="str">
        <f>+'07'!A15:O15</f>
        <v>VIGENCIA 2025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3"/>
      <c r="V15" s="7"/>
      <c r="W15" s="8"/>
      <c r="X15" s="8"/>
    </row>
    <row r="16" spans="1:24" ht="16.5" customHeight="1" x14ac:dyDescent="0.25">
      <c r="A16" s="254" t="s">
        <v>32</v>
      </c>
      <c r="B16" s="255"/>
      <c r="C16" s="64" t="s">
        <v>8</v>
      </c>
      <c r="D16" s="64" t="s">
        <v>9</v>
      </c>
      <c r="E16" s="64" t="s">
        <v>10</v>
      </c>
      <c r="F16" s="64" t="s">
        <v>11</v>
      </c>
      <c r="G16" s="64" t="s">
        <v>12</v>
      </c>
      <c r="H16" s="64" t="s">
        <v>13</v>
      </c>
      <c r="I16" s="64" t="s">
        <v>14</v>
      </c>
      <c r="J16" s="64" t="s">
        <v>15</v>
      </c>
      <c r="K16" s="64" t="s">
        <v>16</v>
      </c>
      <c r="L16" s="64" t="s">
        <v>17</v>
      </c>
      <c r="M16" s="64" t="s">
        <v>18</v>
      </c>
      <c r="N16" s="64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63" t="s">
        <v>39</v>
      </c>
      <c r="B17" s="264"/>
      <c r="C17" s="52">
        <f t="shared" ref="C17:N17" si="0">$O$17</f>
        <v>0.96</v>
      </c>
      <c r="D17" s="52">
        <f t="shared" si="0"/>
        <v>0.96</v>
      </c>
      <c r="E17" s="52">
        <f t="shared" si="0"/>
        <v>0.96</v>
      </c>
      <c r="F17" s="52">
        <f t="shared" si="0"/>
        <v>0.96</v>
      </c>
      <c r="G17" s="52">
        <f t="shared" si="0"/>
        <v>0.96</v>
      </c>
      <c r="H17" s="52">
        <f t="shared" si="0"/>
        <v>0.96</v>
      </c>
      <c r="I17" s="52">
        <f t="shared" si="0"/>
        <v>0.96</v>
      </c>
      <c r="J17" s="52">
        <f t="shared" si="0"/>
        <v>0.96</v>
      </c>
      <c r="K17" s="52">
        <f t="shared" si="0"/>
        <v>0.96</v>
      </c>
      <c r="L17" s="52">
        <f t="shared" si="0"/>
        <v>0.96</v>
      </c>
      <c r="M17" s="52">
        <f t="shared" si="0"/>
        <v>0.96</v>
      </c>
      <c r="N17" s="52">
        <f t="shared" si="0"/>
        <v>0.96</v>
      </c>
      <c r="O17" s="101">
        <f>'SET SP Tarquí'!J15</f>
        <v>0.96</v>
      </c>
      <c r="V17" s="7"/>
      <c r="W17" s="8"/>
      <c r="X17" s="8"/>
    </row>
    <row r="18" spans="1:24" ht="17.25" customHeight="1" x14ac:dyDescent="0.25">
      <c r="A18" s="263" t="str">
        <f>+'07'!A18:B18</f>
        <v>META  AÑO 2025</v>
      </c>
      <c r="B18" s="264"/>
      <c r="C18" s="52">
        <f t="shared" ref="C18:N18" si="1">$O$18</f>
        <v>0.98</v>
      </c>
      <c r="D18" s="52">
        <f t="shared" si="1"/>
        <v>0.98</v>
      </c>
      <c r="E18" s="52">
        <f t="shared" si="1"/>
        <v>0.98</v>
      </c>
      <c r="F18" s="52">
        <f t="shared" si="1"/>
        <v>0.98</v>
      </c>
      <c r="G18" s="52">
        <f t="shared" si="1"/>
        <v>0.98</v>
      </c>
      <c r="H18" s="52">
        <f t="shared" si="1"/>
        <v>0.98</v>
      </c>
      <c r="I18" s="52">
        <f t="shared" si="1"/>
        <v>0.98</v>
      </c>
      <c r="J18" s="52">
        <f t="shared" si="1"/>
        <v>0.98</v>
      </c>
      <c r="K18" s="52">
        <f t="shared" si="1"/>
        <v>0.98</v>
      </c>
      <c r="L18" s="52">
        <f t="shared" si="1"/>
        <v>0.98</v>
      </c>
      <c r="M18" s="52">
        <f t="shared" si="1"/>
        <v>0.98</v>
      </c>
      <c r="N18" s="52">
        <f t="shared" si="1"/>
        <v>0.98</v>
      </c>
      <c r="O18" s="101">
        <f>'SET SP Tarquí'!K15</f>
        <v>0.98</v>
      </c>
      <c r="V18" s="7"/>
      <c r="W18" s="8"/>
      <c r="X18" s="8"/>
    </row>
    <row r="19" spans="1:24" ht="17.25" customHeight="1" x14ac:dyDescent="0.25">
      <c r="A19" s="267" t="s">
        <v>261</v>
      </c>
      <c r="B19" s="268"/>
      <c r="C19" s="10">
        <f t="shared" ref="C19:E19" si="2">IF((C21),C20/C21,"-")</f>
        <v>0.90658570761326485</v>
      </c>
      <c r="D19" s="10">
        <f t="shared" si="2"/>
        <v>0.91028037383177574</v>
      </c>
      <c r="E19" s="10">
        <f t="shared" si="2"/>
        <v>0.91302325581395349</v>
      </c>
      <c r="F19" s="10">
        <f>IF((F21),F20/F21,"-")</f>
        <v>0.91469633750579504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 t="str">
        <f t="shared" si="3"/>
        <v>-</v>
      </c>
      <c r="O19" s="11">
        <f t="shared" si="3"/>
        <v>0.91115510013972989</v>
      </c>
      <c r="V19" s="7"/>
      <c r="W19" s="8"/>
      <c r="X19" s="8"/>
    </row>
    <row r="20" spans="1:24" ht="16.5" customHeight="1" x14ac:dyDescent="0.25">
      <c r="A20" s="269" t="s">
        <v>37</v>
      </c>
      <c r="B20" s="31" t="s">
        <v>139</v>
      </c>
      <c r="C20" s="20">
        <f>+TARQUI2020!D38</f>
        <v>1941</v>
      </c>
      <c r="D20" s="20">
        <f>+TARQUI2020!E38</f>
        <v>1948</v>
      </c>
      <c r="E20" s="20">
        <f>+TARQUI2020!F38</f>
        <v>1963</v>
      </c>
      <c r="F20" s="20">
        <f>+TARQUI2020!G38</f>
        <v>1973</v>
      </c>
      <c r="G20" s="20">
        <f>+TARQUI2020!H38</f>
        <v>0</v>
      </c>
      <c r="H20" s="20">
        <f>+TARQUI2020!I38</f>
        <v>0</v>
      </c>
      <c r="I20" s="20">
        <f>+TARQUI2020!J38</f>
        <v>0</v>
      </c>
      <c r="J20" s="20">
        <f>+TARQUI2020!K38</f>
        <v>0</v>
      </c>
      <c r="K20" s="20">
        <f>+TARQUI2020!L38</f>
        <v>0</v>
      </c>
      <c r="L20" s="20">
        <f>+TARQUI2020!M38</f>
        <v>0</v>
      </c>
      <c r="M20" s="20">
        <f>+TARQUI2020!N38</f>
        <v>0</v>
      </c>
      <c r="N20" s="20">
        <f>+TARQUI2020!O38</f>
        <v>0</v>
      </c>
      <c r="O20" s="21">
        <f>SUM(C20:N20)</f>
        <v>7825</v>
      </c>
      <c r="V20" s="7"/>
      <c r="W20" s="8"/>
      <c r="X20" s="8"/>
    </row>
    <row r="21" spans="1:24" ht="14.25" customHeight="1" x14ac:dyDescent="0.25">
      <c r="A21" s="269"/>
      <c r="B21" s="31" t="s">
        <v>135</v>
      </c>
      <c r="C21" s="20">
        <f>+'05'!C20</f>
        <v>2141</v>
      </c>
      <c r="D21" s="20">
        <f>+'05'!D20</f>
        <v>2140</v>
      </c>
      <c r="E21" s="20">
        <f>+'05'!E20</f>
        <v>2150</v>
      </c>
      <c r="F21" s="20">
        <f>+'05'!F20</f>
        <v>2157</v>
      </c>
      <c r="G21" s="20">
        <f>+'05'!G20</f>
        <v>0</v>
      </c>
      <c r="H21" s="20">
        <f>+'05'!H20</f>
        <v>0</v>
      </c>
      <c r="I21" s="20">
        <f>+'05'!I20</f>
        <v>0</v>
      </c>
      <c r="J21" s="20">
        <f>+'05'!J20</f>
        <v>0</v>
      </c>
      <c r="K21" s="20">
        <f>+'05'!K20</f>
        <v>0</v>
      </c>
      <c r="L21" s="20">
        <f>+'05'!L20</f>
        <v>0</v>
      </c>
      <c r="M21" s="20">
        <f>+'05'!M20</f>
        <v>0</v>
      </c>
      <c r="N21" s="20">
        <f>+'05'!N20</f>
        <v>0</v>
      </c>
      <c r="O21" s="21">
        <f>SUM(C21:N21)</f>
        <v>8588</v>
      </c>
      <c r="V21" s="7"/>
      <c r="W21" s="8"/>
      <c r="X21" s="8"/>
    </row>
    <row r="22" spans="1:24" ht="14.25" customHeight="1" x14ac:dyDescent="0.25">
      <c r="A22" s="298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4.25" customHeight="1" thickBot="1" x14ac:dyDescent="0.3">
      <c r="A23" s="270"/>
      <c r="B23" s="6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71" t="s">
        <v>34</v>
      </c>
      <c r="B24" s="272"/>
      <c r="C24" s="273"/>
      <c r="D24" s="260" t="str">
        <f>'SET SP Tarquí'!$G15</f>
        <v>Entre 80% y 100%</v>
      </c>
      <c r="E24" s="261"/>
      <c r="F24" s="261"/>
      <c r="G24" s="262"/>
      <c r="H24" s="260" t="str">
        <f>'SET SP Tarquí'!$H15</f>
        <v>Entre 60% y 79%</v>
      </c>
      <c r="I24" s="261"/>
      <c r="J24" s="261"/>
      <c r="K24" s="262"/>
      <c r="L24" s="260" t="str">
        <f>'SET SP Tarquí'!$I15</f>
        <v>Menor al 59%</v>
      </c>
      <c r="M24" s="265"/>
      <c r="N24" s="265"/>
      <c r="O24" s="266"/>
      <c r="V24" s="7"/>
      <c r="W24" s="8"/>
      <c r="X24" s="8"/>
    </row>
    <row r="25" spans="1:24" ht="33" customHeight="1" thickBot="1" x14ac:dyDescent="0.3">
      <c r="A25" s="274"/>
      <c r="B25" s="275"/>
      <c r="C25" s="275"/>
      <c r="D25" s="276" t="s">
        <v>7</v>
      </c>
      <c r="E25" s="276"/>
      <c r="F25" s="276"/>
      <c r="G25" s="276"/>
      <c r="H25" s="277" t="s">
        <v>61</v>
      </c>
      <c r="I25" s="277"/>
      <c r="J25" s="277"/>
      <c r="K25" s="277"/>
      <c r="L25" s="237" t="s">
        <v>62</v>
      </c>
      <c r="M25" s="237"/>
      <c r="N25" s="237"/>
      <c r="O25" s="238"/>
      <c r="V25" s="7"/>
      <c r="W25" s="8"/>
      <c r="X25" s="8"/>
    </row>
    <row r="26" spans="1:24" ht="15.75" customHeight="1" thickBot="1" x14ac:dyDescent="0.3">
      <c r="A26" s="239" t="s">
        <v>36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1"/>
      <c r="V26" s="7"/>
      <c r="W26" s="8"/>
      <c r="X26" s="8"/>
    </row>
    <row r="27" spans="1:24" ht="264.75" customHeight="1" thickBot="1" x14ac:dyDescent="0.3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9"/>
      <c r="V27" s="7"/>
    </row>
    <row r="28" spans="1:24" ht="15" customHeight="1" x14ac:dyDescent="0.25">
      <c r="A28" s="189" t="s">
        <v>58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1" t="s">
        <v>60</v>
      </c>
      <c r="O28" s="192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93">
        <v>45658</v>
      </c>
      <c r="O29" s="194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93">
        <v>45689</v>
      </c>
      <c r="O30" s="194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3">
        <v>45717</v>
      </c>
      <c r="O31" s="194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93">
        <v>45748</v>
      </c>
      <c r="O32" s="194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93">
        <v>45778</v>
      </c>
      <c r="O33" s="194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93">
        <v>45809</v>
      </c>
      <c r="O34" s="194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93">
        <v>45839</v>
      </c>
      <c r="O35" s="194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93">
        <v>45870</v>
      </c>
      <c r="O36" s="194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93">
        <v>45901</v>
      </c>
      <c r="O37" s="194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93">
        <v>45931</v>
      </c>
      <c r="O38" s="194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93">
        <v>45962</v>
      </c>
      <c r="O39" s="194"/>
    </row>
    <row r="40" spans="1:17" ht="15" customHeight="1" thickBot="1" x14ac:dyDescent="0.3">
      <c r="A40" s="278"/>
      <c r="B40" s="279"/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80"/>
      <c r="N40" s="193">
        <v>45992</v>
      </c>
      <c r="O40" s="194"/>
    </row>
    <row r="41" spans="1:17" ht="25.5" customHeight="1" x14ac:dyDescent="0.25">
      <c r="A41" s="189" t="s">
        <v>59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 t="s">
        <v>60</v>
      </c>
      <c r="O41" s="192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186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</row>
    <row r="44" spans="1:17" ht="3.75" customHeight="1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0.88</v>
      </c>
    </row>
    <row r="61" spans="17:17" x14ac:dyDescent="0.25">
      <c r="Q61" s="22">
        <v>0.9</v>
      </c>
    </row>
  </sheetData>
  <mergeCells count="76">
    <mergeCell ref="A38:M38"/>
    <mergeCell ref="N38:O38"/>
    <mergeCell ref="A39:M39"/>
    <mergeCell ref="N39:O39"/>
    <mergeCell ref="A40:M40"/>
    <mergeCell ref="N40:O40"/>
    <mergeCell ref="A35:M35"/>
    <mergeCell ref="N35:O35"/>
    <mergeCell ref="A36:M36"/>
    <mergeCell ref="N36:O36"/>
    <mergeCell ref="A37:M37"/>
    <mergeCell ref="N37:O37"/>
    <mergeCell ref="A32:M32"/>
    <mergeCell ref="N32:O32"/>
    <mergeCell ref="A33:M33"/>
    <mergeCell ref="N33:O33"/>
    <mergeCell ref="A34:M34"/>
    <mergeCell ref="N34:O34"/>
    <mergeCell ref="N29:O29"/>
    <mergeCell ref="A30:M30"/>
    <mergeCell ref="N30:O30"/>
    <mergeCell ref="A31:M31"/>
    <mergeCell ref="N31:O31"/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L25:O25"/>
    <mergeCell ref="A29:M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A16:B16"/>
    <mergeCell ref="I9:I10"/>
    <mergeCell ref="J9:K10"/>
    <mergeCell ref="L9:O9"/>
    <mergeCell ref="L10:M10"/>
    <mergeCell ref="H9:H10"/>
    <mergeCell ref="N10:O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11:D11"/>
    <mergeCell ref="F11:G11"/>
    <mergeCell ref="L24:O24"/>
    <mergeCell ref="D25:G25"/>
    <mergeCell ref="H25:K25"/>
    <mergeCell ref="A13:O13"/>
  </mergeCells>
  <dataValidations count="1">
    <dataValidation type="list" allowBlank="1" showInputMessage="1" showErrorMessage="1" sqref="J11:O11" xr:uid="{00000000-0002-0000-08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SET SP Tarquí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TARQUI2020</vt:lpstr>
      <vt:lpstr>TARQUI2020!Área_de_impresión</vt:lpstr>
      <vt:lpstr>'SET SP Tarquí'!Títulos_a_imprimir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2025-08-20T15:41:36Z</cp:lastPrinted>
  <dcterms:created xsi:type="dcterms:W3CDTF">2010-03-16T20:37:23Z</dcterms:created>
  <dcterms:modified xsi:type="dcterms:W3CDTF">2026-07-02T15:20:58Z</dcterms:modified>
</cp:coreProperties>
</file>